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Krycí list rozpočtu" sheetId="1" r:id="rId1"/>
    <sheet name="Stavební rozpočet" sheetId="2" r:id="rId2"/>
    <sheet name="Rozpočet - vybrané sloupce" sheetId="3" r:id="rId3"/>
  </sheets>
  <definedNames/>
  <calcPr fullCalcOnLoad="1"/>
</workbook>
</file>

<file path=xl/sharedStrings.xml><?xml version="1.0" encoding="utf-8"?>
<sst xmlns="http://schemas.openxmlformats.org/spreadsheetml/2006/main" count="4156" uniqueCount="950">
  <si>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</si>
  <si>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</si>
  <si>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</si>
  <si>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</si>
  <si>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</si>
  <si>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</si>
  <si>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</si>
  <si>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</si>
  <si>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</si>
  <si>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</si>
  <si>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</si>
  <si>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</si>
  <si>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</si>
  <si>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</si>
  <si>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</si>
  <si>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</si>
  <si>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</si>
  <si>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</si>
  <si>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</si>
  <si>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</si>
  <si>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</si>
  <si>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</si>
  <si>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</si>
  <si>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</si>
  <si>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</si>
  <si>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</si>
  <si>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</si>
  <si>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</si>
  <si>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</si>
  <si>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</si>
  <si>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</si>
  <si>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</si>
  <si>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</si>
  <si>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</si>
  <si>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</si>
  <si>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</si>
  <si>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</si>
  <si>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</si>
  <si>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</si>
  <si>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</si>
  <si>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</si>
  <si>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</si>
  <si>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</si>
  <si>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</si>
  <si>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</si>
  <si>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</si>
  <si>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</si>
  <si>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</si>
  <si>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</si>
  <si>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</si>
  <si>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</si>
  <si>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</si>
  <si>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</si>
  <si>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</si>
  <si>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</si>
  <si>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</si>
  <si>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</si>
  <si>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</si>
  <si>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</si>
  <si>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</si>
  <si>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</si>
  <si>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</si>
  <si>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</si>
  <si>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</si>
  <si>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</si>
  <si>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</si>
  <si>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</si>
  <si>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</si>
  <si>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</si>
  <si>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</si>
  <si>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</si>
  <si>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</si>
  <si>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</si>
  <si>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</si>
  <si>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</si>
  <si>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</si>
  <si>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</si>
  <si>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</si>
  <si>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</si>
  <si>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</si>
  <si>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</si>
  <si>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</si>
  <si>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</si>
  <si>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</si>
  <si>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</si>
  <si>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</si>
  <si>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</si>
  <si>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</si>
  <si>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</si>
  <si>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</si>
  <si>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</si>
  <si>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</si>
  <si>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</si>
  <si>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</si>
  <si>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</si>
  <si>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</si>
  <si>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</si>
  <si>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</si>
  <si>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</si>
  <si>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</si>
  <si>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</si>
  <si>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</si>
  <si>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</si>
  <si>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</si>
  <si>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</si>
  <si>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</si>
  <si>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</si>
  <si>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</si>
  <si>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</si>
  <si>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</si>
  <si>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</si>
  <si>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</si>
  <si>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</si>
  <si>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</si>
  <si>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</si>
  <si>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</si>
  <si>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</si>
  <si>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</si>
  <si>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</si>
  <si>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</si>
  <si>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</si>
  <si>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</si>
  <si>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</si>
  <si>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</si>
  <si>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</si>
  <si>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</si>
  <si>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</si>
  <si>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</si>
  <si>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</si>
  <si>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</si>
  <si>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</si>
  <si>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</si>
  <si>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</si>
  <si>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</si>
  <si>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</si>
  <si>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</si>
  <si>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</si>
  <si>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</si>
  <si>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</si>
  <si>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</si>
  <si>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</si>
  <si>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</si>
  <si>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</si>
  <si>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</si>
  <si>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</si>
  <si>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</si>
  <si>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</si>
  <si>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</si>
  <si>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</si>
  <si>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</si>
  <si>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</si>
  <si>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</si>
  <si>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</si>
  <si>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</si>
  <si>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</si>
  <si>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</si>
  <si>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</si>
  <si>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</si>
  <si>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</si>
  <si>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</si>
  <si>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</si>
  <si>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</si>
  <si>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</si>
  <si>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</si>
  <si>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</si>
  <si>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</si>
  <si>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</si>
  <si>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</si>
  <si>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</si>
  <si>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</si>
  <si>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</si>
  <si>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</si>
  <si>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</si>
  <si>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</si>
  <si>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</si>
  <si>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</si>
  <si>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</si>
  <si>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</si>
  <si>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</si>
  <si>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</si>
  <si>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</si>
  <si>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</si>
  <si>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</si>
  <si>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</si>
  <si>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</si>
  <si>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</si>
  <si>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</si>
  <si>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</si>
  <si>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</si>
  <si>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</si>
  <si>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</si>
  <si>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</si>
  <si>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</si>
  <si>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</si>
  <si>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</si>
  <si>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</si>
  <si>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</si>
  <si>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</si>
  <si>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</si>
  <si>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</si>
  <si>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</si>
  <si>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</si>
  <si>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</si>
  <si>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</si>
  <si>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</si>
  <si>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</si>
  <si>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</si>
  <si>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</si>
  <si>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</si>
  <si>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</si>
  <si>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</si>
  <si>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</si>
  <si>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</si>
  <si>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</si>
  <si>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</si>
  <si>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</si>
  <si>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</si>
  <si>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</si>
  <si>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</si>
  <si>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</si>
  <si>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</si>
  <si>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</si>
  <si>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</si>
  <si>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</si>
  <si>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</si>
  <si>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</si>
  <si>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</si>
  <si>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</si>
  <si>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</si>
  <si>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</si>
  <si>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</si>
  <si>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</si>
  <si>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</si>
  <si>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</si>
  <si>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</si>
  <si>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</si>
  <si>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</si>
  <si>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</si>
  <si>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</si>
  <si>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</si>
  <si>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</si>
  <si>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</si>
  <si>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</si>
  <si>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</si>
  <si>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</si>
  <si>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</si>
  <si>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</si>
  <si>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</si>
  <si>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</si>
  <si>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</si>
  <si>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</si>
  <si>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</si>
  <si>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</si>
  <si>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</si>
  <si>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</si>
  <si>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</si>
  <si>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</si>
  <si>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Objekt</t>
  </si>
  <si>
    <t>100-02</t>
  </si>
  <si>
    <t>100-021</t>
  </si>
  <si>
    <t>100-03</t>
  </si>
  <si>
    <t>300-02</t>
  </si>
  <si>
    <t>300-03</t>
  </si>
  <si>
    <t>300-031</t>
  </si>
  <si>
    <t>400-01</t>
  </si>
  <si>
    <t>Kód</t>
  </si>
  <si>
    <t>0</t>
  </si>
  <si>
    <t>02010001VD</t>
  </si>
  <si>
    <t>111201101R00</t>
  </si>
  <si>
    <t>112101101R00</t>
  </si>
  <si>
    <t>112201101R00</t>
  </si>
  <si>
    <t>111201401R00</t>
  </si>
  <si>
    <t>113151114R00</t>
  </si>
  <si>
    <t>113107122R00</t>
  </si>
  <si>
    <t>113107124R00</t>
  </si>
  <si>
    <t>979082213R00</t>
  </si>
  <si>
    <t>979082219R00</t>
  </si>
  <si>
    <t>122102201R00</t>
  </si>
  <si>
    <t>122202209R00</t>
  </si>
  <si>
    <t>162601102R00</t>
  </si>
  <si>
    <t>171201201RT1</t>
  </si>
  <si>
    <t>130001101R00</t>
  </si>
  <si>
    <t>181101102R00</t>
  </si>
  <si>
    <t>181301101R00</t>
  </si>
  <si>
    <t>181101101R00</t>
  </si>
  <si>
    <t>460120081R00</t>
  </si>
  <si>
    <t>460120082RT1</t>
  </si>
  <si>
    <t>182201101R00</t>
  </si>
  <si>
    <t>721170958R00</t>
  </si>
  <si>
    <t>132201101R00</t>
  </si>
  <si>
    <t>212810010RAC</t>
  </si>
  <si>
    <t>79938034VD</t>
  </si>
  <si>
    <t>79938033VD</t>
  </si>
  <si>
    <t>79938032VD</t>
  </si>
  <si>
    <t>79938031VD</t>
  </si>
  <si>
    <t>380316111R00</t>
  </si>
  <si>
    <t>998223011R00</t>
  </si>
  <si>
    <t>998223094R00</t>
  </si>
  <si>
    <t>577112125R00</t>
  </si>
  <si>
    <t>577112113R00</t>
  </si>
  <si>
    <t>998225311R00</t>
  </si>
  <si>
    <t>998225395R00</t>
  </si>
  <si>
    <t>591040032RA0</t>
  </si>
  <si>
    <t>596040011RAB</t>
  </si>
  <si>
    <t>916261111R00</t>
  </si>
  <si>
    <t>917862111RT7</t>
  </si>
  <si>
    <t>917862111RT5</t>
  </si>
  <si>
    <t>917862111RT2</t>
  </si>
  <si>
    <t>917862000VD</t>
  </si>
  <si>
    <t>99901VD</t>
  </si>
  <si>
    <t>890002VD</t>
  </si>
  <si>
    <t>919735112R00</t>
  </si>
  <si>
    <t>919731121R00</t>
  </si>
  <si>
    <t>919721211R00</t>
  </si>
  <si>
    <t>915711111R00</t>
  </si>
  <si>
    <t>915712111R00</t>
  </si>
  <si>
    <t>915721111R00</t>
  </si>
  <si>
    <t>914001111R00</t>
  </si>
  <si>
    <t>M46</t>
  </si>
  <si>
    <t>460030001RT2</t>
  </si>
  <si>
    <t>460620006RT1</t>
  </si>
  <si>
    <t>58380129</t>
  </si>
  <si>
    <t>58380120</t>
  </si>
  <si>
    <t>998225111R00</t>
  </si>
  <si>
    <t>998225194R00</t>
  </si>
  <si>
    <t>020100005VD</t>
  </si>
  <si>
    <t>167101101R00</t>
  </si>
  <si>
    <t>979081111R00</t>
  </si>
  <si>
    <t>979081121R00</t>
  </si>
  <si>
    <t>123VD</t>
  </si>
  <si>
    <t>123123124VD</t>
  </si>
  <si>
    <t>275312611R00</t>
  </si>
  <si>
    <t>277354211R00</t>
  </si>
  <si>
    <t>277354111R00</t>
  </si>
  <si>
    <t>131201201R00</t>
  </si>
  <si>
    <t>132200012RAB</t>
  </si>
  <si>
    <t>317311611R00</t>
  </si>
  <si>
    <t>434312141R00</t>
  </si>
  <si>
    <t>348942112R00</t>
  </si>
  <si>
    <t>250040114R00</t>
  </si>
  <si>
    <t>591040116RAB</t>
  </si>
  <si>
    <t>113106211R00</t>
  </si>
  <si>
    <t>113107123R00</t>
  </si>
  <si>
    <t>460030102RT1</t>
  </si>
  <si>
    <t>174100010RAD</t>
  </si>
  <si>
    <t>767900040RA0</t>
  </si>
  <si>
    <t>59233173</t>
  </si>
  <si>
    <t>900100002RA0</t>
  </si>
  <si>
    <t>998152122R00</t>
  </si>
  <si>
    <t>577000012RAB</t>
  </si>
  <si>
    <t>M21</t>
  </si>
  <si>
    <t>211 0008VD</t>
  </si>
  <si>
    <t>S0</t>
  </si>
  <si>
    <t>132201109R00</t>
  </si>
  <si>
    <t>131100110RAA</t>
  </si>
  <si>
    <t>141700108R00</t>
  </si>
  <si>
    <t>151101101R00</t>
  </si>
  <si>
    <t>151101111R00</t>
  </si>
  <si>
    <t>161101101R00</t>
  </si>
  <si>
    <t>162701105R00</t>
  </si>
  <si>
    <t>171204111R00</t>
  </si>
  <si>
    <t>174101101R00</t>
  </si>
  <si>
    <t>451573111R00</t>
  </si>
  <si>
    <t>175101101R00</t>
  </si>
  <si>
    <t>998271201R00</t>
  </si>
  <si>
    <t>871111102R00</t>
  </si>
  <si>
    <t>871111101R00</t>
  </si>
  <si>
    <t>871111103R00</t>
  </si>
  <si>
    <t>893151111R00</t>
  </si>
  <si>
    <t>892581111R00</t>
  </si>
  <si>
    <t>892583111R00</t>
  </si>
  <si>
    <t>274311611R00</t>
  </si>
  <si>
    <t>132200010RAD</t>
  </si>
  <si>
    <t>162307111R00</t>
  </si>
  <si>
    <t>919441211R00</t>
  </si>
  <si>
    <t>871222221VD</t>
  </si>
  <si>
    <t>871222224VD</t>
  </si>
  <si>
    <t>58344199</t>
  </si>
  <si>
    <t>286971510</t>
  </si>
  <si>
    <t>59224221</t>
  </si>
  <si>
    <t>55241713</t>
  </si>
  <si>
    <t>286971501</t>
  </si>
  <si>
    <t>286971518</t>
  </si>
  <si>
    <t>28697154</t>
  </si>
  <si>
    <t>28697159</t>
  </si>
  <si>
    <t>871222222VD</t>
  </si>
  <si>
    <t>871222223VD</t>
  </si>
  <si>
    <t>871222225VD</t>
  </si>
  <si>
    <t>871222228VD</t>
  </si>
  <si>
    <t>28651693.A</t>
  </si>
  <si>
    <t>28651694.A</t>
  </si>
  <si>
    <t>132200112RAB</t>
  </si>
  <si>
    <t>133100010RAB</t>
  </si>
  <si>
    <t>892571111R00</t>
  </si>
  <si>
    <t>919735113R00</t>
  </si>
  <si>
    <t>895941111R00</t>
  </si>
  <si>
    <t>871222226VD</t>
  </si>
  <si>
    <t>28697153</t>
  </si>
  <si>
    <t>286971507</t>
  </si>
  <si>
    <t>871222229VD</t>
  </si>
  <si>
    <t>02010006VD</t>
  </si>
  <si>
    <t>162702199R00</t>
  </si>
  <si>
    <t>131100110RAB</t>
  </si>
  <si>
    <t>141700103R00</t>
  </si>
  <si>
    <t>28613524</t>
  </si>
  <si>
    <t>275311116R00</t>
  </si>
  <si>
    <t>M0</t>
  </si>
  <si>
    <t>141      R00</t>
  </si>
  <si>
    <t>210260121R00</t>
  </si>
  <si>
    <t>34112484</t>
  </si>
  <si>
    <t>220060526R00</t>
  </si>
  <si>
    <t>210260181RT1</t>
  </si>
  <si>
    <t>210204011R00</t>
  </si>
  <si>
    <t>748721220R00</t>
  </si>
  <si>
    <t>211VD</t>
  </si>
  <si>
    <t>210901044RT1</t>
  </si>
  <si>
    <t>31673530</t>
  </si>
  <si>
    <t>31677830</t>
  </si>
  <si>
    <t>34844500VD</t>
  </si>
  <si>
    <t>Autobusové zastávky a chodníkové těleso, Bílov</t>
  </si>
  <si>
    <t>SO 100-02, SO 100-03, SO 300-02, SO 300-03, SO 400-01</t>
  </si>
  <si>
    <t>Bílov</t>
  </si>
  <si>
    <t>Zkrácený popis</t>
  </si>
  <si>
    <t>AUTOBUSOVÉ ZASTÁVKY</t>
  </si>
  <si>
    <t>Všeobecné konstrukce a práce</t>
  </si>
  <si>
    <t>Geodetické zaměření skutečného provedení stavby</t>
  </si>
  <si>
    <t>Přípravné a přidružené práce</t>
  </si>
  <si>
    <t>Odstranění křovin i s kořeny na ploše do 1000 m2</t>
  </si>
  <si>
    <t>Kácení stromů listnatých o průměru kmene 10-30 cm</t>
  </si>
  <si>
    <t>Odstranění pařezů pod úrovní, o průměru 10 - 30 cm</t>
  </si>
  <si>
    <t>Spálení křovin a stromů o průměru do 100 mm</t>
  </si>
  <si>
    <t>Frézování krytu pl.do 500 m2,pruh do 75 cm,tl.5 cm</t>
  </si>
  <si>
    <t>Odstranění podkladu pl. 200 m2,kam.drcené tl.20 cm</t>
  </si>
  <si>
    <t>Odstranění podkladu pl. 200 m2,kam.drcené tl.40 cm</t>
  </si>
  <si>
    <t>Vodorovná doprava suti po suchu do 1 km</t>
  </si>
  <si>
    <t>Příplatek za dopravu suti po suchu za další 1 km</t>
  </si>
  <si>
    <t>Odkopávky a prokopávky</t>
  </si>
  <si>
    <t>Odkopávky pro silnice v hor. 2 do 100 m3</t>
  </si>
  <si>
    <t>Příplatek za lepivost - odkop. pro silnice v hor.3</t>
  </si>
  <si>
    <t>Vodorovné přemístění výkopku z hor.1-4 do 5000 m</t>
  </si>
  <si>
    <t>Uložení sypaniny na skládku</t>
  </si>
  <si>
    <t>Příplatek za ztížené hloubení v blízkosti vedení</t>
  </si>
  <si>
    <t>Povrchové úpravy terénu</t>
  </si>
  <si>
    <t>Úprava pláně v zářezech v hor. 1-4, se zhutněním</t>
  </si>
  <si>
    <t>Rozprostření ornice, rovina, tl. do 10 cm do 500m2</t>
  </si>
  <si>
    <t>Úprava pláně v zářezech v hor. 1-4, bez zhutnění</t>
  </si>
  <si>
    <t>Násyp zeminy, hornina třídy 1-2</t>
  </si>
  <si>
    <t>Násyp zeminy, hornina třídy 3-4</t>
  </si>
  <si>
    <t>Svahování násypů</t>
  </si>
  <si>
    <t>Úprava podloží a základové spáry</t>
  </si>
  <si>
    <t>Oprava-vsazení odbočky, potrubí PVC hrdlové DN 200</t>
  </si>
  <si>
    <t>Hloubení rýh šířky do 60 cm v hor.3 do 100 m3</t>
  </si>
  <si>
    <t>Trativody z PVC drenážních flexibilních trubek</t>
  </si>
  <si>
    <t>Různé kompletní konstrukce (nedělitelné do stavebních dílů)</t>
  </si>
  <si>
    <t>Krytka žlabu Q-220/D</t>
  </si>
  <si>
    <t>Výt.dílec TZD-Q 220/250/1000-MV</t>
  </si>
  <si>
    <t>Čist. kus TZD-Q 220/250/1000-M</t>
  </si>
  <si>
    <t>Žlab šť. TZD-Q 220/250/1000</t>
  </si>
  <si>
    <t>Komplet. konstr.kanálů z V4 To B 12,5 do 15 cm</t>
  </si>
  <si>
    <t>Přesun hmot, pozemní komunikace, kryt dlážděný</t>
  </si>
  <si>
    <t>Přesun hmot, komunikace dlážděné, příplatek 5 km</t>
  </si>
  <si>
    <t>Kryty štěrkových a živičných komunikací a ploch</t>
  </si>
  <si>
    <t>Beton asf. ACO 11 (ABS),modifik.tř.I nad 3m,tl.6cm</t>
  </si>
  <si>
    <t>Beton asf. ACO 11 (ABS),modifik.tř.I do 3m,tl. 4cm</t>
  </si>
  <si>
    <t>Přesun hmot, oprava komunikací, kryt živič. a bet.</t>
  </si>
  <si>
    <t>Přesun hmot, oprava komunikací, přípl. dalších 5km</t>
  </si>
  <si>
    <t>Dlažby pozemních komunikací a ploch</t>
  </si>
  <si>
    <t>Komunikace dlážděné D1-D-3-IV-PIII</t>
  </si>
  <si>
    <t>Chodník dlážděný D2-D-1-CH-PII a PIII</t>
  </si>
  <si>
    <t>Chodník dlážděný D2-D-1-CH-PII a PIII - reliéfní dlažba</t>
  </si>
  <si>
    <t>Osazení obruby z kostek drobných, s boční opěrou</t>
  </si>
  <si>
    <t>Osazení stojat. obrub. bet. s opěrou,lože z B 12,5</t>
  </si>
  <si>
    <t>Osazení obruby bezbariérové s opěrou (C30/37)</t>
  </si>
  <si>
    <t>Ostatní konstrukce</t>
  </si>
  <si>
    <t>přechodné dopravní značení</t>
  </si>
  <si>
    <t>Přípravné a přidružené práce stavební výroby</t>
  </si>
  <si>
    <t>Doplňující konstrukce a práce pozemních komunikací, letišť a ploch</t>
  </si>
  <si>
    <t>Řezání stávajícího živičného krytu tl. 5 - 10 cm</t>
  </si>
  <si>
    <t>Zarovnání styčné plochy živičné tl. do 5 cm</t>
  </si>
  <si>
    <t>Dilatační spáry vkládané vyplněné asfalt. zálivkou</t>
  </si>
  <si>
    <t>Vodorovné značení střík.barvou dělících čar 12 cm</t>
  </si>
  <si>
    <t>Vodorovné značení střík.barvou proužků š.25 cm</t>
  </si>
  <si>
    <t>Vodorovné značení střík.barvou stopčar,zeber atd.</t>
  </si>
  <si>
    <t>Montáž svislých dopr.značek na sloupky, konzoly</t>
  </si>
  <si>
    <t>Zemní práce při montážích</t>
  </si>
  <si>
    <t>Sejmutí ornice vrstvy do 15 cm se zeminou tř.1</t>
  </si>
  <si>
    <t>Osetí povrchu trávou</t>
  </si>
  <si>
    <t>Ostatní materiál</t>
  </si>
  <si>
    <t>Kostka dlažební drobná 10/12 štípaná Itř. 1t=4,0m2</t>
  </si>
  <si>
    <t>Kostka dlažební drobná 8/10  tř.1</t>
  </si>
  <si>
    <t>Přesun hmot, pozemní komunikace, kryt živičný</t>
  </si>
  <si>
    <t>Přesun hmot, komunikace živičné, příplatek do 5 km</t>
  </si>
  <si>
    <t>NEUZNATELNÉ NÁKLADY SFDI</t>
  </si>
  <si>
    <t>Geodetické zaměření před zahájením stavby pro všechny SO</t>
  </si>
  <si>
    <t>výpočet a PD osvětlení přechodu</t>
  </si>
  <si>
    <t>Nakládání výkopku z hor.1-4 v množství do 100 m3</t>
  </si>
  <si>
    <t>Odvoz suti a vybour. hmot na skládku do 1 km</t>
  </si>
  <si>
    <t>Příplatek k odvozu za každý další 1 km</t>
  </si>
  <si>
    <t>Ostatní</t>
  </si>
  <si>
    <t>D+M čekárny</t>
  </si>
  <si>
    <t>Beton zákl. patek prokl. síranovzd. B 20 (C 16/20)</t>
  </si>
  <si>
    <t>Bednění základových pilířů odstranění</t>
  </si>
  <si>
    <t>Bednění základových pilířů zřízení</t>
  </si>
  <si>
    <t>Hloubení zapažených jam v hor.3 do 100 m3</t>
  </si>
  <si>
    <t>Schodiště</t>
  </si>
  <si>
    <t>Hloubení nezapaž.rýh šířky do 200 cm v hornině 1-4</t>
  </si>
  <si>
    <t>Beton klenbových pásů prostý B 20 (C 16/20)</t>
  </si>
  <si>
    <t>Schody vyrovnávací v dlažbách z obrub</t>
  </si>
  <si>
    <t>Zábradlí ocel. s osazením do bet.bloků,ze 3 trubek</t>
  </si>
  <si>
    <t>Metalizace zinkem 100 mikrom. tř. II, v. nad 10 m</t>
  </si>
  <si>
    <t>Komunikace dlážděné D2-D-1-O-PIII</t>
  </si>
  <si>
    <t>CHODNÍKOVÉ TĚLESO</t>
  </si>
  <si>
    <t>Rozebrání dlažeb z velkých kostek v kam. těženém</t>
  </si>
  <si>
    <t>Odstranění podkladu pl. 200 m2,kam.drcené tl.30 cm</t>
  </si>
  <si>
    <t>Vytrhání obrubníků, lože MC, stojatých</t>
  </si>
  <si>
    <t>Příplatek za lepivost - odkop. pro silnice v hor.2</t>
  </si>
  <si>
    <t>Zásyp jam, rýh a šachet sypaninou (kačírek okolo plotu)</t>
  </si>
  <si>
    <t>Sloupy a pilíře, stožáry a rámové stojky</t>
  </si>
  <si>
    <t>Demontáž oplocení z pletiva</t>
  </si>
  <si>
    <t>Deska plotová podhrabová 300x60x2700mm</t>
  </si>
  <si>
    <t>Oplocení z poplastovaného pletiva, ocelové sloupky</t>
  </si>
  <si>
    <t>Přesun hmot, oplocení, zvláštní obj. monol. do 10m</t>
  </si>
  <si>
    <t>Komunikace s ABS krytem D1-N-2-III-PIII</t>
  </si>
  <si>
    <t>Chodník dlážděný D2-D-1-CH-PII a PIII reliéfní dlažba</t>
  </si>
  <si>
    <t>Elektromontáže</t>
  </si>
  <si>
    <t>Přeložka sloupů a vedení CETIN</t>
  </si>
  <si>
    <t>Přesuny sutí</t>
  </si>
  <si>
    <t>ODVODNĚNÍ ZÁLIVŮ</t>
  </si>
  <si>
    <t>Geodetické zaměření a vytyčení do 50m</t>
  </si>
  <si>
    <t>Hloubené vykopávky</t>
  </si>
  <si>
    <t>Příplatek za lepivost - hloubení rýh 60 cm v hor.3</t>
  </si>
  <si>
    <t>Ražení a hloubení tunelářské</t>
  </si>
  <si>
    <t>Hloubení zapažených jam v hornině1-4</t>
  </si>
  <si>
    <t>Protlak neřízený z trub PVC D 310 mm v hor.1 - 4</t>
  </si>
  <si>
    <t>Roubení</t>
  </si>
  <si>
    <t>Pažení a rozepření stěn rýh - příložné - hl. do 2m</t>
  </si>
  <si>
    <t>Odstranění paženi stěn rýh - příložné - hl. do 2 m</t>
  </si>
  <si>
    <t>Přemístění výkopku</t>
  </si>
  <si>
    <t>Svislé přemístění výkopku z hor.1-4 do 2,5 m</t>
  </si>
  <si>
    <t>Vodorovné přemístění výkopku z hor.1-4 do 10000 m</t>
  </si>
  <si>
    <t>Konstrukce ze zemin</t>
  </si>
  <si>
    <t>Ulozeni sypaniny bez zhut na skl</t>
  </si>
  <si>
    <t>Zásyp jam, rýh, šachet se zhutněním</t>
  </si>
  <si>
    <t>Podkladní a vedlejší konstrukce (inženýr. stavby kromě vozovek a železnič. svršku)</t>
  </si>
  <si>
    <t>Lože pod potrubí ze štěrkopísku do 63 mm</t>
  </si>
  <si>
    <t>Obsyp potrubí bez prohození sypaniny</t>
  </si>
  <si>
    <t>Potrubí z trub z plastických hmot, skleněných a čedičových</t>
  </si>
  <si>
    <t>Přesun hmot pro kanalizace zděné, otevřený výkop</t>
  </si>
  <si>
    <t>M.plast.potrubí ve výkopu na gum.těsnění DN 200 mm</t>
  </si>
  <si>
    <t>M.plast.potrubí ve výkopu na gum.těsnění DN 150 mm</t>
  </si>
  <si>
    <t>M.plast.potrubí ve výkopu na gum.těsnění DN 250 mm</t>
  </si>
  <si>
    <t>Montáž šachty vodoměrné a revizní plastové kruhové</t>
  </si>
  <si>
    <t>Zkouška těsnosti kanalizace DN do 300, vodou</t>
  </si>
  <si>
    <t>Zabezpečení konců kanal. potrubí DN do 300, vodou</t>
  </si>
  <si>
    <t>Beton zákl. pasů prokl. kamenem B 20 (C 16/20)</t>
  </si>
  <si>
    <t>Hloubení nezapaž. rýh šířky do 60 cm v hornině 1-4</t>
  </si>
  <si>
    <t>Vodorov prem vykop horn 1-4 500m</t>
  </si>
  <si>
    <t>Čelo propustku z lom. kamene z trub DN 30 - 50 cm</t>
  </si>
  <si>
    <t>kanalizační roura U-RIB2 DN200</t>
  </si>
  <si>
    <t>přechod UR2-KG 200</t>
  </si>
  <si>
    <t>Štěrkodrtě frakce 0-63 C</t>
  </si>
  <si>
    <t>Dno šachtové TEGRA 600/200mm úh 90° pro potrubí KG</t>
  </si>
  <si>
    <t>Prstenec betonový TEGRA 600 Wavin</t>
  </si>
  <si>
    <t>Poklop litina TEGRA 600/100 D400 Wavin</t>
  </si>
  <si>
    <t>Dno šachtové TEGRA 600/160mm přímé pro potrubí KG</t>
  </si>
  <si>
    <t>Dno šachtové TEGRA 600/250mm typ X pro potrubí KG</t>
  </si>
  <si>
    <t>Roura šachtová korugovaná  bez hrdla 600/2000 mm</t>
  </si>
  <si>
    <t>Poklop PE A15 do šachtové roury D=600 mm</t>
  </si>
  <si>
    <t>kanalizační roura U-RIB2 DN150</t>
  </si>
  <si>
    <t>kanalizační roura U-RIB2 DN250</t>
  </si>
  <si>
    <t>přechod UR2-KG150</t>
  </si>
  <si>
    <t>přechod UR2-KG 250</t>
  </si>
  <si>
    <t>Redukce kanalizační UR2 200/ 160 PVC</t>
  </si>
  <si>
    <t>Redukce kanalizační UR2 250/ 200 PVC</t>
  </si>
  <si>
    <t>ODVODNĚNÍ CHODNÍKOVÉHO TĚLESA</t>
  </si>
  <si>
    <t>Hloubení zapaž.rýh šířky.do 200 cm v hornině.1-4</t>
  </si>
  <si>
    <t>Hloubení šachet, pažení a rozepření, v hornině 1-4</t>
  </si>
  <si>
    <t>Přesun hmot pro kanalizace , otevřený výkop</t>
  </si>
  <si>
    <t>Zkouška těsnosti kanalizace DN do 200, vodou</t>
  </si>
  <si>
    <t>Řezání stávajícího živičného krytu tl. 10 - 15 cm</t>
  </si>
  <si>
    <t>Zřízení vpusti uliční z dílců typ UV - 50 normální</t>
  </si>
  <si>
    <t>vpusť uliční TBV - Q komplet</t>
  </si>
  <si>
    <t>Roura šachtová korugovaná  bez hrdla 600/1000 mm</t>
  </si>
  <si>
    <t>Dno šachtové TEGRA 600/200mm přímé pro potrubí KG</t>
  </si>
  <si>
    <t>vtoková mříž zapuštěná chodníková se šikmým čelem</t>
  </si>
  <si>
    <t>ODVODNĚNÍ CHODNÍKOVÉHO TĚLESA NEUZNATELNÝ SFDI</t>
  </si>
  <si>
    <t>OSVĚTLENÍ PŘECHODU</t>
  </si>
  <si>
    <t>Nájem zvedací plošiny</t>
  </si>
  <si>
    <t>Poplatek za skládku zeminy</t>
  </si>
  <si>
    <t>Protlak neřízený z trub PVC D 135 mm v hor.1 - 4</t>
  </si>
  <si>
    <t>Trubka ROBUST SUPERPIPE SDR11 90x8,2 mm L12m voda</t>
  </si>
  <si>
    <t>Základy</t>
  </si>
  <si>
    <t>Beton základ. patek prostý z cem. portlad. B 20</t>
  </si>
  <si>
    <t>Montážní přirážky</t>
  </si>
  <si>
    <t>Přirážka za podružný materiál   m21</t>
  </si>
  <si>
    <t>Kabel závěsný AYKYz-pevně uložený na příchytkách</t>
  </si>
  <si>
    <t>Kabel silový s Al jádrem 750 V AYKYz 4 x16 mm2</t>
  </si>
  <si>
    <t>Tažení závěsného kabelu přes ocelové stožáry</t>
  </si>
  <si>
    <t>Uchycení nos. lana kabelů AYKYz konz./SH svorka</t>
  </si>
  <si>
    <t>Stožár osvětlovací ocelový délky do 12 m</t>
  </si>
  <si>
    <t>Mtz vylozniku 1ramen sloupov 35-kg</t>
  </si>
  <si>
    <t>elektroinstalace - přepojení</t>
  </si>
  <si>
    <t>Kabel silový AYKY 750V  4 x 10 mm2 uložený pevně</t>
  </si>
  <si>
    <t>Stožár osvětlovací uliční J8-140/114</t>
  </si>
  <si>
    <t>Výložník F typ V 1F - 15  D 89</t>
  </si>
  <si>
    <t>Svítidlo na osvětlení přechodů pro chodce, pravostranní optika, 250W</t>
  </si>
  <si>
    <t>Doba výstavby:</t>
  </si>
  <si>
    <t>Začátek výstavby:</t>
  </si>
  <si>
    <t>Konec výstavby:</t>
  </si>
  <si>
    <t>Zpracováno dne:</t>
  </si>
  <si>
    <t>M.j.</t>
  </si>
  <si>
    <t>soubor</t>
  </si>
  <si>
    <t>m2</t>
  </si>
  <si>
    <t>kus</t>
  </si>
  <si>
    <t>t</t>
  </si>
  <si>
    <t>m3</t>
  </si>
  <si>
    <t>m</t>
  </si>
  <si>
    <t>sk</t>
  </si>
  <si>
    <t>ks</t>
  </si>
  <si>
    <t>%</t>
  </si>
  <si>
    <t>T</t>
  </si>
  <si>
    <t>100 m</t>
  </si>
  <si>
    <t>sada</t>
  </si>
  <si>
    <t>hod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</si>
  <si>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</si>
  <si>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</si>
  <si>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</si>
  <si>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</si>
  <si>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</si>
  <si>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</si>
  <si>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</si>
  <si>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</si>
  <si>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</si>
  <si>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</si>
  <si>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</si>
  <si>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obec Bílov</t>
  </si>
  <si>
    <t>Štegner Ivo - projekční kancelář</t>
  </si>
  <si>
    <t>Celkem</t>
  </si>
  <si>
    <t>Hmotnost (t)</t>
  </si>
  <si>
    <t>Přesuny</t>
  </si>
  <si>
    <t>Typ skupiny</t>
  </si>
  <si>
    <t>HS</t>
  </si>
  <si>
    <t>MP</t>
  </si>
  <si>
    <t>OM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</si>
  <si>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</si>
  <si>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</si>
  <si>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</si>
  <si>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</si>
  <si>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</si>
  <si>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</si>
  <si>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</si>
  <si>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</si>
  <si>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Obj</t>
  </si>
  <si>
    <t>Rozměry</t>
  </si>
  <si>
    <t>5*2.5</t>
  </si>
  <si>
    <t>12.5</t>
  </si>
  <si>
    <t>2.75</t>
  </si>
  <si>
    <t>9.22*0.50   záliv 1</t>
  </si>
  <si>
    <t>35.29*0.5   záliv 1</t>
  </si>
  <si>
    <t>3.88*0.5   záliv 1</t>
  </si>
  <si>
    <t>54.31*0.5   záliv 2</t>
  </si>
  <si>
    <t>4.18*0.5   záliv 2</t>
  </si>
  <si>
    <t>131.3   komunikace pod zálivem 1</t>
  </si>
  <si>
    <t>53.45   stávající kryt</t>
  </si>
  <si>
    <t>53.45</t>
  </si>
  <si>
    <t>131.3</t>
  </si>
  <si>
    <t>170.5253*8</t>
  </si>
  <si>
    <t>21.05   záliv 1</t>
  </si>
  <si>
    <t>47.68   záliv 2</t>
  </si>
  <si>
    <t>-34.4*0.24   neuznatelný náklad SFDI - chodník vedle místní komunikace "K Bytovce"</t>
  </si>
  <si>
    <t>-110.1*0.24   neuznatelný náklad SFDI - druhé chod.těleso</t>
  </si>
  <si>
    <t>49.4*0.24</t>
  </si>
  <si>
    <t>62.42</t>
  </si>
  <si>
    <t>2.1*0.5*0.6</t>
  </si>
  <si>
    <t>277.09   záliv 1</t>
  </si>
  <si>
    <t>127.51   záliv 2</t>
  </si>
  <si>
    <t>-110.1   neuznatelný náklad SFDI - druhé chod.těleso</t>
  </si>
  <si>
    <t>8.68+27.66   záliv 1</t>
  </si>
  <si>
    <t>0.71+38.65   záliv 2</t>
  </si>
  <si>
    <t>313.41   záliv 1</t>
  </si>
  <si>
    <t>166.87   záliv 2</t>
  </si>
  <si>
    <t>-37.5   neuznatelný náklad SFDI - druhé chod.těleso</t>
  </si>
  <si>
    <t>116.54   záliv 1</t>
  </si>
  <si>
    <t>1.22   záliv 2</t>
  </si>
  <si>
    <t>-13.8   neuznatelný náklad SFDI - druhé chod.těleso</t>
  </si>
  <si>
    <t>108.22   záliv 1</t>
  </si>
  <si>
    <t>1.17   záliv 2</t>
  </si>
  <si>
    <t>-10.3   neuznatelný náklad SFDI - druhé chod.těleso</t>
  </si>
  <si>
    <t>27.32   záliv 1</t>
  </si>
  <si>
    <t>0.57   záliv 2</t>
  </si>
  <si>
    <t>29*0.4*0.4</t>
  </si>
  <si>
    <t>51.3*0.4*0.4</t>
  </si>
  <si>
    <t>(29+51.3)*1.1</t>
  </si>
  <si>
    <t>80.03</t>
  </si>
  <si>
    <t>-4</t>
  </si>
  <si>
    <t>29.0   zíliv 1</t>
  </si>
  <si>
    <t>51.03   záliv 2</t>
  </si>
  <si>
    <t>0   měřeno z autocad</t>
  </si>
  <si>
    <t>206.37977</t>
  </si>
  <si>
    <t>9.22*0.3</t>
  </si>
  <si>
    <t>35.29*0.3</t>
  </si>
  <si>
    <t>3.88*0.3</t>
  </si>
  <si>
    <t>54.31*0.3</t>
  </si>
  <si>
    <t>4.18*0.3</t>
  </si>
  <si>
    <t>8.3138*4</t>
  </si>
  <si>
    <t>199.7   z AUTOCAD</t>
  </si>
  <si>
    <t>418.5   celkem</t>
  </si>
  <si>
    <t>-34.5   reliéfní dlažba</t>
  </si>
  <si>
    <t>-22.8-87.4   neuznatelný náklad SFDI - druhé chod.těleso</t>
  </si>
  <si>
    <t>-23.4   neuznatelný náklad SFDI - chodník schodiště</t>
  </si>
  <si>
    <t>-29   neuznatelný náklad SFDI - přístup k nemovitosti</t>
  </si>
  <si>
    <t>-34.4   neuznatelný náklad SFDI - chod.těleso podél místní kom.</t>
  </si>
  <si>
    <t>34.5</t>
  </si>
  <si>
    <t>-1.6   neuznatelný náklad SFDI - reliéfní dlažba schodiště</t>
  </si>
  <si>
    <t>-4.9   neuznatelný náklad SFDI - reliéfní dlažba chodn.tělesa podél místní kom.</t>
  </si>
  <si>
    <t>103.5   z AUTOCAD</t>
  </si>
  <si>
    <t>179.2   z AUTOCAD</t>
  </si>
  <si>
    <t>-22   neuznatelný náklad SFDI - chodník se schodištěm</t>
  </si>
  <si>
    <t>-24.2   neuznatelný náklad SFDI - přístup k objektu</t>
  </si>
  <si>
    <t>-29   neuznatelný náklad SFDI - chodníkové těleso podél místní komunikace</t>
  </si>
  <si>
    <t>5.8</t>
  </si>
  <si>
    <t>91.9   záliv 1 + záliv 2</t>
  </si>
  <si>
    <t>531.8952</t>
  </si>
  <si>
    <t>-40   neuznatelný náklad SFDI - schody a přístup</t>
  </si>
  <si>
    <t>-22.77   neuznatelný náklad SFDI - chodníkové těleso podél místní komunikace</t>
  </si>
  <si>
    <t>469.132*2</t>
  </si>
  <si>
    <t>33.8</t>
  </si>
  <si>
    <t>14.3</t>
  </si>
  <si>
    <t>83.6</t>
  </si>
  <si>
    <t>11.2</t>
  </si>
  <si>
    <t>4.6</t>
  </si>
  <si>
    <t>16.6</t>
  </si>
  <si>
    <t>3*0.5*7   přechod</t>
  </si>
  <si>
    <t>35*2   bus záliv 1 a 2</t>
  </si>
  <si>
    <t>22.91   záliv 1</t>
  </si>
  <si>
    <t>17.10   záliv 2</t>
  </si>
  <si>
    <t>38.65</t>
  </si>
  <si>
    <t>0.71</t>
  </si>
  <si>
    <t>8.68</t>
  </si>
  <si>
    <t>27.66</t>
  </si>
  <si>
    <t>192.1*0.1*2.66</t>
  </si>
  <si>
    <t>5.51</t>
  </si>
  <si>
    <t>56.61*10</t>
  </si>
  <si>
    <t>110.1*0.24</t>
  </si>
  <si>
    <t>26.42*2600/1000</t>
  </si>
  <si>
    <t>68.69*25</t>
  </si>
  <si>
    <t>34.4*0.24   chodníkové těleso podél místní komunikace</t>
  </si>
  <si>
    <t>34.4*0.24   chodník vedle místní komunikace "K Bytovce"</t>
  </si>
  <si>
    <t>0.5*0.5*1.6*4</t>
  </si>
  <si>
    <t>0.6*0.8*4*4</t>
  </si>
  <si>
    <t>0.5*0.5*0.8*4</t>
  </si>
  <si>
    <t>110.2</t>
  </si>
  <si>
    <t>37.5</t>
  </si>
  <si>
    <t>13.8</t>
  </si>
  <si>
    <t>10.3</t>
  </si>
  <si>
    <t>2.2*0.8*0.7</t>
  </si>
  <si>
    <t>2.5*0.8*0.7</t>
  </si>
  <si>
    <t>2.5*0.15*0.6*3</t>
  </si>
  <si>
    <t>2*4</t>
  </si>
  <si>
    <t>0.9+0.9+2.8</t>
  </si>
  <si>
    <t>2.8*0.9*2</t>
  </si>
  <si>
    <t>84.79817*2</t>
  </si>
  <si>
    <t>46.2*2</t>
  </si>
  <si>
    <t>22.8+87.4</t>
  </si>
  <si>
    <t>23.4   chodník se schodištěm</t>
  </si>
  <si>
    <t>29   přístup k nemovitosti</t>
  </si>
  <si>
    <t>34.4   chodníkové těleso podél místní komunikace</t>
  </si>
  <si>
    <t>1.6   chodníkové těleso se schodištěm</t>
  </si>
  <si>
    <t>4.9   chodníkové těleso podél místní komunikace</t>
  </si>
  <si>
    <t>29   chodníkové těleso podél místní komunikace</t>
  </si>
  <si>
    <t>22   chodník se schodištěm</t>
  </si>
  <si>
    <t>24.2   přístup k objektu</t>
  </si>
  <si>
    <t>40   chodníkové těleso podél místní komunikace</t>
  </si>
  <si>
    <t>22.77   přístup k objektu</t>
  </si>
  <si>
    <t>62.77*2</t>
  </si>
  <si>
    <t>70.1*2.5</t>
  </si>
  <si>
    <t>103.4*0.5</t>
  </si>
  <si>
    <t>4*0.5</t>
  </si>
  <si>
    <t>4*1.7   chodník u úřadu</t>
  </si>
  <si>
    <t>4+1.7</t>
  </si>
  <si>
    <t>103.4*0.55*0.6   rozšíření komunikace</t>
  </si>
  <si>
    <t>29.97   chodník</t>
  </si>
  <si>
    <t>64.09</t>
  </si>
  <si>
    <t>53.7*0.6</t>
  </si>
  <si>
    <t>103.4*0.5*0.5</t>
  </si>
  <si>
    <t>79.45*0.3*0.2</t>
  </si>
  <si>
    <t>23.9*1.4</t>
  </si>
  <si>
    <t>104.85</t>
  </si>
  <si>
    <t>9.009</t>
  </si>
  <si>
    <t>103.4*0.9</t>
  </si>
  <si>
    <t>124.7045*4</t>
  </si>
  <si>
    <t>103.4*1.5</t>
  </si>
  <si>
    <t>4*1.55</t>
  </si>
  <si>
    <t>-2.43-1.4-1.4   reliéfní dlažba</t>
  </si>
  <si>
    <t>2.43+1.4+1.4</t>
  </si>
  <si>
    <t>93.3088*2</t>
  </si>
  <si>
    <t>103.4+4</t>
  </si>
  <si>
    <t>107.4*2</t>
  </si>
  <si>
    <t>103.4+4+1.7</t>
  </si>
  <si>
    <t>55.1250</t>
  </si>
  <si>
    <t>55.125*8</t>
  </si>
  <si>
    <t>214.8*0.1*0.2*2.66</t>
  </si>
  <si>
    <t>106.5   z autopen</t>
  </si>
  <si>
    <t>2.7*2.7*1*3</t>
  </si>
  <si>
    <t>1*2*1.3   startovací jáma</t>
  </si>
  <si>
    <t>9.5   z autocad</t>
  </si>
  <si>
    <t>230.6   z autopen</t>
  </si>
  <si>
    <t>106.5</t>
  </si>
  <si>
    <t>21.87</t>
  </si>
  <si>
    <t>2.6</t>
  </si>
  <si>
    <t>27   volný terén</t>
  </si>
  <si>
    <t>60.7   ŠD</t>
  </si>
  <si>
    <t>9.1   z autopen</t>
  </si>
  <si>
    <t>31.8   z autopen</t>
  </si>
  <si>
    <t>17.9   z autocad</t>
  </si>
  <si>
    <t>33.26   z autocad</t>
  </si>
  <si>
    <t>50.00   z autocad</t>
  </si>
  <si>
    <t>17.59+33.26+50</t>
  </si>
  <si>
    <t>17.59   z autocad</t>
  </si>
  <si>
    <t>31.8*2600/1000</t>
  </si>
  <si>
    <t>50.00   z bautocad</t>
  </si>
  <si>
    <t>2*2*3</t>
  </si>
  <si>
    <t>9.54*8</t>
  </si>
  <si>
    <t>54.08   z autopen</t>
  </si>
  <si>
    <t>-43.425   z autopen - neuznatelný náklad SFDI</t>
  </si>
  <si>
    <t>206.4   z autopen š.rýhy=800mm</t>
  </si>
  <si>
    <t>1.6   z autopen</t>
  </si>
  <si>
    <t>-164.25   z autopen - neuznatelný náklad SFDI</t>
  </si>
  <si>
    <t>(1.4+1.9+2+2.4+1.9+1.5)*2*2   h*š*d</t>
  </si>
  <si>
    <t>44.4</t>
  </si>
  <si>
    <t>145.6   celkem</t>
  </si>
  <si>
    <t>-114.8   z autopen - neuznatelný náklad SFDI</t>
  </si>
  <si>
    <t>252.4   celkem</t>
  </si>
  <si>
    <t>-145.6   zpětné využití</t>
  </si>
  <si>
    <t>-89.9   neuznatelný náklad SFDI</t>
  </si>
  <si>
    <t>106.8   celkem</t>
  </si>
  <si>
    <t>-89.9    neuznatelný náklad SFDI</t>
  </si>
  <si>
    <t>-114.8   neuznatelný náklad SFDI</t>
  </si>
  <si>
    <t>26   celkem</t>
  </si>
  <si>
    <t>-21.88   neuznatelný náklad SFDI</t>
  </si>
  <si>
    <t>78    z autopen</t>
  </si>
  <si>
    <t>-8.164   kanalizační roury</t>
  </si>
  <si>
    <t>-65.61   neuznatelný náklad SFDI</t>
  </si>
  <si>
    <t>+1.29   kanalizační roury</t>
  </si>
  <si>
    <t>49.16   celkem</t>
  </si>
  <si>
    <t>-41.37   neuznatelný náklad SFDI</t>
  </si>
  <si>
    <t>125.22   celkem</t>
  </si>
  <si>
    <t>-110   neuznatelný náklad SFDI</t>
  </si>
  <si>
    <t>15.22</t>
  </si>
  <si>
    <t>1.4+1.9+2+2.4   uliční vpusti</t>
  </si>
  <si>
    <t>69.84   celkem</t>
  </si>
  <si>
    <t>-64.31   neuznatelný náklad SFDI</t>
  </si>
  <si>
    <t>43.425   z autopen</t>
  </si>
  <si>
    <t>164.25   z autopen</t>
  </si>
  <si>
    <t>11+17</t>
  </si>
  <si>
    <t>164.25</t>
  </si>
  <si>
    <t>114.8</t>
  </si>
  <si>
    <t>89.9</t>
  </si>
  <si>
    <t>21.88</t>
  </si>
  <si>
    <t>65.61</t>
  </si>
  <si>
    <t>-1.29   kanalizační roury</t>
  </si>
  <si>
    <t>41.37</t>
  </si>
  <si>
    <t>64.31</t>
  </si>
  <si>
    <t>0.8*0.8*1</t>
  </si>
  <si>
    <t>70945*0.01</t>
  </si>
  <si>
    <t>12.5+8</t>
  </si>
  <si>
    <t>20.5</t>
  </si>
  <si>
    <t>2.5+6+12+1.5+1.5+2.5+6</t>
  </si>
  <si>
    <t>Jednotková cena (Kč)</t>
  </si>
  <si>
    <t>Náklady celkem (Kč)</t>
  </si>
  <si>
    <t>Celková hmotnost(t)</t>
  </si>
  <si>
    <t>Varianta</t>
  </si>
  <si>
    <t>včetně poplatku za skládku</t>
  </si>
  <si>
    <t>složení, rozprost. a udusání zeminy</t>
  </si>
  <si>
    <t>drenáž</t>
  </si>
  <si>
    <t>lože a obsyp štěrkodrtí 8-16, trubky d 100 mm</t>
  </si>
  <si>
    <t>bez výkopových prací</t>
  </si>
  <si>
    <t xml:space="preserve">bez výkopových prací </t>
  </si>
  <si>
    <t>včetně obrubníku ABO 2 - 15 100/15/40</t>
  </si>
  <si>
    <t>včetně obrubníku ABO 13 - 10 100/10/25</t>
  </si>
  <si>
    <t>včetně obrubníku ABO 25 - 8  100/8/25</t>
  </si>
  <si>
    <t>HK 400/330/1000 flex lepidlo</t>
  </si>
  <si>
    <t>nadstavení konzol kabelů, přemístění kabelů z fasády apod.</t>
  </si>
  <si>
    <t>vč. dodávky DZ</t>
  </si>
  <si>
    <t>tlouštka vrstvy do 10 - 15 cm</t>
  </si>
  <si>
    <t>včetně dodávky osiva</t>
  </si>
  <si>
    <t>čekárna</t>
  </si>
  <si>
    <t>odvoz do  5 km, uložení na skládku</t>
  </si>
  <si>
    <t xml:space="preserve">obruby 100/250/1000 do bet.opěry XC2 C25/30
</t>
  </si>
  <si>
    <t>s očištěním a uložením na hromady</t>
  </si>
  <si>
    <t>dovoz sypaniny ze vzdálenosti 5 km</t>
  </si>
  <si>
    <t>vč. otvírací brány pro poz.41/15</t>
  </si>
  <si>
    <t>bez výkopových prací
doplnění stávající komunikace</t>
  </si>
  <si>
    <t>dvouřádek</t>
  </si>
  <si>
    <t>včetně obrubníku ABO 2 - 15 100/15/25</t>
  </si>
  <si>
    <t>naceněno CETINem</t>
  </si>
  <si>
    <t>zpětné využití zeminy</t>
  </si>
  <si>
    <t xml:space="preserve">šachta, </t>
  </si>
  <si>
    <t>pažení, odvoz do 1 km, uložení na skládku</t>
  </si>
  <si>
    <t>pod komunikací</t>
  </si>
  <si>
    <t>materiál ve specifikaci</t>
  </si>
  <si>
    <t>odvoz do 15 km, uložení na skládku</t>
  </si>
  <si>
    <t>pažení, odvoz 5 km, uložení na skládku</t>
  </si>
  <si>
    <t>odvoz do 5 km, uložení na skládku</t>
  </si>
  <si>
    <t>vč.dodávky dodávky trub</t>
  </si>
  <si>
    <t>pažení, odvoz do 5 km, uložení na skládku</t>
  </si>
  <si>
    <t xml:space="preserve">
</t>
  </si>
  <si>
    <t>včetně dodávky lanové svorky</t>
  </si>
  <si>
    <t>kabelové svorky, ochrana zatahovací, apod.</t>
  </si>
  <si>
    <t>včetně dodávky kabelu AYKY 4bx10</t>
  </si>
  <si>
    <t>Poznámka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</si>
  <si>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</si>
  <si>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</si>
  <si>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</si>
  <si>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</si>
  <si>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</si>
  <si>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</si>
  <si>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</si>
  <si>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</si>
  <si>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</si>
  <si>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</si>
  <si>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</si>
  <si>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</si>
  <si>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</si>
  <si>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</si>
  <si>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</si>
  <si>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</si>
  <si>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</si>
  <si>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</si>
  <si>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</si>
  <si>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</si>
  <si>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</si>
  <si>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</si>
  <si>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</si>
  <si>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</si>
  <si>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</si>
  <si>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</si>
  <si>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</si>
  <si>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</si>
  <si>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</si>
  <si>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</si>
  <si>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</si>
  <si>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</si>
  <si>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</si>
  <si>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</si>
  <si>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</si>
  <si>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</si>
  <si>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</si>
  <si>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</si>
  <si>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63338564/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</si>
</sst>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8">
    <xf numFmtId="0" fontId="1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33" borderId="16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3" fillId="33" borderId="16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6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6" fillId="33" borderId="37" xfId="0" applyNumberFormat="1" applyFont="1" applyFill="1" applyBorder="1" applyAlignment="1" applyProtection="1">
      <alignment horizontal="center" vertical="center"/>
      <protection/>
    </xf>
    <xf numFmtId="49" fontId="7" fillId="0" borderId="38" xfId="0" applyNumberFormat="1" applyFont="1" applyFill="1" applyBorder="1" applyAlignment="1" applyProtection="1">
      <alignment horizontal="left" vertical="center"/>
      <protection/>
    </xf>
    <xf numFmtId="49" fontId="7" fillId="0" borderId="39" xfId="0" applyNumberFormat="1" applyFont="1" applyFill="1" applyBorder="1" applyAlignment="1" applyProtection="1">
      <alignment horizontal="left" vertical="center"/>
      <protection/>
    </xf>
    <xf numFmtId="49" fontId="7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7" fillId="33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49" fontId="8" fillId="0" borderId="42" xfId="0" applyNumberFormat="1" applyFont="1" applyFill="1" applyBorder="1" applyAlignment="1" applyProtection="1">
      <alignment horizontal="left" vertical="center"/>
      <protection/>
    </xf>
    <xf numFmtId="49" fontId="8" fillId="0" borderId="32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49" fontId="8" fillId="0" borderId="37" xfId="0" applyNumberFormat="1" applyFont="1" applyFill="1" applyBorder="1" applyAlignment="1" applyProtection="1">
      <alignment horizontal="left" vertical="center"/>
      <protection/>
    </xf>
    <xf numFmtId="0" fontId="7" fillId="0" borderId="44" xfId="0" applyNumberFormat="1" applyFont="1" applyFill="1" applyBorder="1" applyAlignment="1" applyProtection="1">
      <alignment horizontal="left" vertical="center"/>
      <protection/>
    </xf>
    <xf numFmtId="0" fontId="7" fillId="33" borderId="3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right" vertical="center"/>
      <protection/>
    </xf>
    <xf numFmtId="0" fontId="7" fillId="33" borderId="44" xfId="0" applyNumberFormat="1" applyFont="1" applyFill="1" applyBorder="1" applyAlignment="1" applyProtection="1">
      <alignment horizontal="right" vertical="center"/>
      <protection/>
    </xf>
    <xf numFmtId="0" fontId="8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8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49" fontId="8" fillId="0" borderId="37" xfId="0" applyNumberFormat="1" applyFont="1" applyFill="1" applyBorder="1" applyAlignment="1" applyProtection="1">
      <alignment horizontal="righ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14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  <col min="10" max="16384" width="11.421875" style="0" customWidth="1"/>
  </cols>
  <sheetData>
    <row r="1" spans="1:9" ht="28.5" customHeight="1">
      <c r="A1" s="60" t="s">
        <v>911</v>
      </c>
      <c r="B1" s="74"/>
      <c r="C1" s="74"/>
      <c r="D1" s="74"/>
      <c r="E1" s="74"/>
      <c r="F1" s="74"/>
      <c r="G1" s="74"/>
      <c r="H1" s="74"/>
      <c r="I1" s="74"/>
    </row>
    <row r="2" spans="1:10" ht="12.75">
      <c r="A2" s="2" t="s">
        <v>1</v>
      </c>
      <c r="B2" s="14"/>
      <c r="C2" s="21" t="s">
        <v>419</v>
      </c>
      <c r="D2" s="40"/>
      <c r="E2" s="26" t="s">
        <v>630</v>
      </c>
      <c r="F2" s="26" t="s">
        <v>635</v>
      </c>
      <c r="G2" s="14"/>
      <c r="H2" s="26" t="s">
        <v>945</v>
      </c>
      <c r="I2" s="94"/>
      <c r="J2" s="48"/>
    </row>
    <row r="3" spans="1:10" ht="12.75">
      <c r="A3" s="3"/>
      <c r="B3" s="15"/>
      <c r="C3" s="22"/>
      <c r="D3" s="22"/>
      <c r="E3" s="15"/>
      <c r="F3" s="15"/>
      <c r="G3" s="15"/>
      <c r="H3" s="15"/>
      <c r="I3" s="46"/>
      <c r="J3" s="48"/>
    </row>
    <row r="4" spans="1:10" ht="12.75">
      <c r="A4" s="4" t="s">
        <v>2</v>
      </c>
      <c r="B4" s="15"/>
      <c r="C4" s="23" t="s">
        <v>420</v>
      </c>
      <c r="D4" s="15"/>
      <c r="E4" s="23" t="s">
        <v>631</v>
      </c>
      <c r="F4" s="23" t="s">
        <v>636</v>
      </c>
      <c r="G4" s="15"/>
      <c r="H4" s="23" t="s">
        <v>945</v>
      </c>
      <c r="I4" s="95" t="s">
        <v>949</v>
      </c>
      <c r="J4" s="48"/>
    </row>
    <row r="5" spans="1:10" ht="12.75">
      <c r="A5" s="3"/>
      <c r="B5" s="15"/>
      <c r="C5" s="15"/>
      <c r="D5" s="15"/>
      <c r="E5" s="15"/>
      <c r="F5" s="15"/>
      <c r="G5" s="15"/>
      <c r="H5" s="15"/>
      <c r="I5" s="46"/>
      <c r="J5" s="48"/>
    </row>
    <row r="6" spans="1:10" ht="12.75">
      <c r="A6" s="4" t="s">
        <v>3</v>
      </c>
      <c r="B6" s="15"/>
      <c r="C6" s="23" t="s">
        <v>421</v>
      </c>
      <c r="D6" s="15"/>
      <c r="E6" s="23" t="s">
        <v>632</v>
      </c>
      <c r="F6" s="23"/>
      <c r="G6" s="15"/>
      <c r="H6" s="23" t="s">
        <v>945</v>
      </c>
      <c r="I6" s="95"/>
      <c r="J6" s="48"/>
    </row>
    <row r="7" spans="1:10" ht="12.75">
      <c r="A7" s="3"/>
      <c r="B7" s="15"/>
      <c r="C7" s="15"/>
      <c r="D7" s="15"/>
      <c r="E7" s="15"/>
      <c r="F7" s="15"/>
      <c r="G7" s="15"/>
      <c r="H7" s="15"/>
      <c r="I7" s="46"/>
      <c r="J7" s="48"/>
    </row>
    <row r="8" spans="1:10" ht="12.75">
      <c r="A8" s="4" t="s">
        <v>607</v>
      </c>
      <c r="B8" s="15"/>
      <c r="C8" s="32">
        <v>42377</v>
      </c>
      <c r="D8" s="15"/>
      <c r="E8" s="23" t="s">
        <v>608</v>
      </c>
      <c r="F8" s="15"/>
      <c r="G8" s="15"/>
      <c r="H8" s="23" t="s">
        <v>946</v>
      </c>
      <c r="I8" s="95" t="s">
        <v>256</v>
      </c>
      <c r="J8" s="48"/>
    </row>
    <row r="9" spans="1:10" ht="12.75">
      <c r="A9" s="3"/>
      <c r="B9" s="15"/>
      <c r="C9" s="15"/>
      <c r="D9" s="15"/>
      <c r="E9" s="15"/>
      <c r="F9" s="15"/>
      <c r="G9" s="15"/>
      <c r="H9" s="15"/>
      <c r="I9" s="46"/>
      <c r="J9" s="48"/>
    </row>
    <row r="10" spans="1:10" ht="12.75">
      <c r="A10" s="4" t="s">
        <v>4</v>
      </c>
      <c r="B10" s="15"/>
      <c r="C10" s="23"/>
      <c r="D10" s="15"/>
      <c r="E10" s="23" t="s">
        <v>633</v>
      </c>
      <c r="F10" s="23"/>
      <c r="G10" s="15"/>
      <c r="H10" s="23" t="s">
        <v>947</v>
      </c>
      <c r="I10" s="96">
        <v>42377</v>
      </c>
      <c r="J10" s="48"/>
    </row>
    <row r="11" spans="1:10" ht="12.75">
      <c r="A11" s="61"/>
      <c r="B11" s="75"/>
      <c r="C11" s="75"/>
      <c r="D11" s="75"/>
      <c r="E11" s="75"/>
      <c r="F11" s="75"/>
      <c r="G11" s="75"/>
      <c r="H11" s="75"/>
      <c r="I11" s="97"/>
      <c r="J11" s="48"/>
    </row>
    <row r="12" spans="1:9" ht="23.25" customHeight="1">
      <c r="A12" s="62" t="s">
        <v>912</v>
      </c>
      <c r="B12" s="76"/>
      <c r="C12" s="76"/>
      <c r="D12" s="76"/>
      <c r="E12" s="76"/>
      <c r="F12" s="76"/>
      <c r="G12" s="76"/>
      <c r="H12" s="76"/>
      <c r="I12" s="76"/>
    </row>
    <row r="13" spans="1:10" ht="26.25" customHeight="1">
      <c r="A13" s="63" t="s">
        <v>913</v>
      </c>
      <c r="B13" s="77" t="s">
        <v>924</v>
      </c>
      <c r="C13" s="84"/>
      <c r="D13" s="63" t="s">
        <v>926</v>
      </c>
      <c r="E13" s="77" t="s">
        <v>934</v>
      </c>
      <c r="F13" s="84"/>
      <c r="G13" s="63" t="s">
        <v>935</v>
      </c>
      <c r="H13" s="77" t="s">
        <v>948</v>
      </c>
      <c r="I13" s="84"/>
      <c r="J13" s="48"/>
    </row>
    <row r="14" spans="1:10" ht="15" customHeight="1">
      <c r="A14" s="64" t="s">
        <v>914</v>
      </c>
      <c r="B14" s="78" t="s">
        <v>925</v>
      </c>
      <c r="C14" s="85"/>
      <c r="D14" s="90" t="s">
        <v>927</v>
      </c>
      <c r="E14" s="92"/>
      <c r="F14" s="85"/>
      <c r="G14" s="90" t="s">
        <v>936</v>
      </c>
      <c r="H14" s="92"/>
      <c r="I14" s="85"/>
      <c r="J14" s="48"/>
    </row>
    <row r="15" spans="1:10" ht="15" customHeight="1">
      <c r="A15" s="65"/>
      <c r="B15" s="78" t="s">
        <v>634</v>
      </c>
      <c r="C15" s="85"/>
      <c r="D15" s="90" t="s">
        <v>928</v>
      </c>
      <c r="E15" s="92"/>
      <c r="F15" s="85"/>
      <c r="G15" s="90" t="s">
        <v>937</v>
      </c>
      <c r="H15" s="92"/>
      <c r="I15" s="85"/>
      <c r="J15" s="48"/>
    </row>
    <row r="16" spans="1:10" ht="15" customHeight="1">
      <c r="A16" s="64" t="s">
        <v>915</v>
      </c>
      <c r="B16" s="78" t="s">
        <v>925</v>
      </c>
      <c r="C16" s="85"/>
      <c r="D16" s="90" t="s">
        <v>929</v>
      </c>
      <c r="E16" s="92"/>
      <c r="F16" s="85"/>
      <c r="G16" s="90" t="s">
        <v>938</v>
      </c>
      <c r="H16" s="92"/>
      <c r="I16" s="85"/>
      <c r="J16" s="48"/>
    </row>
    <row r="17" spans="1:10" ht="15" customHeight="1">
      <c r="A17" s="65"/>
      <c r="B17" s="78" t="s">
        <v>634</v>
      </c>
      <c r="C17" s="85"/>
      <c r="D17" s="90"/>
      <c r="E17" s="92"/>
      <c r="F17" s="93"/>
      <c r="G17" s="90" t="s">
        <v>939</v>
      </c>
      <c r="H17" s="92"/>
      <c r="I17" s="85"/>
      <c r="J17" s="48"/>
    </row>
    <row r="18" spans="1:10" ht="15" customHeight="1">
      <c r="A18" s="64" t="s">
        <v>916</v>
      </c>
      <c r="B18" s="78" t="s">
        <v>925</v>
      </c>
      <c r="C18" s="85"/>
      <c r="D18" s="90"/>
      <c r="E18" s="92"/>
      <c r="F18" s="93"/>
      <c r="G18" s="90" t="s">
        <v>498</v>
      </c>
      <c r="H18" s="92"/>
      <c r="I18" s="85"/>
      <c r="J18" s="48"/>
    </row>
    <row r="19" spans="1:10" ht="15" customHeight="1">
      <c r="A19" s="65"/>
      <c r="B19" s="78" t="s">
        <v>634</v>
      </c>
      <c r="C19" s="85"/>
      <c r="D19" s="90"/>
      <c r="E19" s="92"/>
      <c r="F19" s="93"/>
      <c r="G19" s="90" t="s">
        <v>940</v>
      </c>
      <c r="H19" s="92"/>
      <c r="I19" s="85"/>
      <c r="J19" s="48"/>
    </row>
    <row r="20" spans="1:10" ht="15" customHeight="1">
      <c r="A20" s="66" t="s">
        <v>487</v>
      </c>
      <c r="B20" s="79"/>
      <c r="C20" s="85"/>
      <c r="D20" s="90"/>
      <c r="E20" s="92"/>
      <c r="F20" s="93"/>
      <c r="G20" s="90"/>
      <c r="H20" s="92"/>
      <c r="I20" s="93"/>
      <c r="J20" s="48"/>
    </row>
    <row r="21" spans="1:10" ht="15" customHeight="1">
      <c r="A21" s="66" t="s">
        <v>917</v>
      </c>
      <c r="B21" s="79"/>
      <c r="C21" s="85"/>
      <c r="D21" s="90"/>
      <c r="E21" s="92"/>
      <c r="F21" s="93"/>
      <c r="G21" s="90"/>
      <c r="H21" s="92"/>
      <c r="I21" s="93"/>
      <c r="J21" s="48"/>
    </row>
    <row r="22" spans="1:10" ht="16.5" customHeight="1">
      <c r="A22" s="66" t="s">
        <v>918</v>
      </c>
      <c r="B22" s="79"/>
      <c r="C22" s="85"/>
      <c r="D22" s="66" t="s">
        <v>930</v>
      </c>
      <c r="E22" s="79"/>
      <c r="F22" s="85"/>
      <c r="G22" s="66" t="s">
        <v>941</v>
      </c>
      <c r="H22" s="79"/>
      <c r="I22" s="85"/>
      <c r="J22" s="48"/>
    </row>
    <row r="23" spans="1:9" ht="12.75">
      <c r="A23" s="67"/>
      <c r="B23" s="67"/>
      <c r="C23" s="67"/>
      <c r="D23" s="12"/>
      <c r="E23" s="12"/>
      <c r="F23" s="12"/>
      <c r="G23" s="12"/>
      <c r="H23" s="12"/>
      <c r="I23" s="12"/>
    </row>
    <row r="24" spans="1:9" ht="15" customHeight="1">
      <c r="A24" s="68" t="s">
        <v>919</v>
      </c>
      <c r="B24" s="80"/>
      <c r="C24" s="86"/>
      <c r="D24" s="91"/>
      <c r="E24" s="35"/>
      <c r="F24" s="35"/>
      <c r="G24" s="35"/>
      <c r="H24" s="35"/>
      <c r="I24" s="35"/>
    </row>
    <row r="25" spans="1:10" ht="15" customHeight="1">
      <c r="A25" s="68" t="s">
        <v>920</v>
      </c>
      <c r="B25" s="80"/>
      <c r="C25" s="86"/>
      <c r="D25" s="68" t="s">
        <v>931</v>
      </c>
      <c r="E25" s="80"/>
      <c r="F25" s="86"/>
      <c r="G25" s="68" t="s">
        <v>942</v>
      </c>
      <c r="H25" s="80"/>
      <c r="I25" s="86"/>
      <c r="J25" s="48"/>
    </row>
    <row r="26" spans="1:10" ht="15" customHeight="1">
      <c r="A26" s="68" t="s">
        <v>921</v>
      </c>
      <c r="B26" s="80"/>
      <c r="C26" s="86"/>
      <c r="D26" s="68" t="s">
        <v>932</v>
      </c>
      <c r="E26" s="80"/>
      <c r="F26" s="86"/>
      <c r="G26" s="68" t="s">
        <v>943</v>
      </c>
      <c r="H26" s="80"/>
      <c r="I26" s="86"/>
      <c r="J26" s="48"/>
    </row>
    <row r="27" spans="1:9" ht="12.75">
      <c r="A27" s="69"/>
      <c r="B27" s="69"/>
      <c r="C27" s="69"/>
      <c r="D27" s="69"/>
      <c r="E27" s="69"/>
      <c r="F27" s="69"/>
      <c r="G27" s="69"/>
      <c r="H27" s="69"/>
      <c r="I27" s="69"/>
    </row>
    <row r="28" spans="1:10" ht="14.25" customHeight="1">
      <c r="A28" s="70" t="s">
        <v>922</v>
      </c>
      <c r="B28" s="81"/>
      <c r="C28" s="87"/>
      <c r="D28" s="70" t="s">
        <v>933</v>
      </c>
      <c r="E28" s="81"/>
      <c r="F28" s="87"/>
      <c r="G28" s="70" t="s">
        <v>944</v>
      </c>
      <c r="H28" s="81"/>
      <c r="I28" s="87"/>
      <c r="J28" s="49"/>
    </row>
    <row r="29" spans="1:10" ht="14.25" customHeight="1">
      <c r="A29" s="71"/>
      <c r="B29" s="82"/>
      <c r="C29" s="88"/>
      <c r="D29" s="71"/>
      <c r="E29" s="82"/>
      <c r="F29" s="88"/>
      <c r="G29" s="71"/>
      <c r="H29" s="82"/>
      <c r="I29" s="88"/>
      <c r="J29" s="49"/>
    </row>
    <row r="30" spans="1:10" ht="14.25" customHeight="1">
      <c r="A30" s="71"/>
      <c r="B30" s="82"/>
      <c r="C30" s="88"/>
      <c r="D30" s="71"/>
      <c r="E30" s="82"/>
      <c r="F30" s="88"/>
      <c r="G30" s="71"/>
      <c r="H30" s="82"/>
      <c r="I30" s="88"/>
      <c r="J30" s="49"/>
    </row>
    <row r="31" spans="1:10" ht="14.25" customHeight="1">
      <c r="A31" s="71"/>
      <c r="B31" s="82"/>
      <c r="C31" s="88"/>
      <c r="D31" s="71"/>
      <c r="E31" s="82"/>
      <c r="F31" s="88"/>
      <c r="G31" s="71"/>
      <c r="H31" s="82"/>
      <c r="I31" s="88"/>
      <c r="J31" s="49"/>
    </row>
    <row r="32" spans="1:10" ht="14.25" customHeight="1">
      <c r="A32" s="72" t="s">
        <v>923</v>
      </c>
      <c r="B32" s="83"/>
      <c r="C32" s="89"/>
      <c r="D32" s="72" t="s">
        <v>923</v>
      </c>
      <c r="E32" s="83"/>
      <c r="F32" s="89"/>
      <c r="G32" s="72" t="s">
        <v>923</v>
      </c>
      <c r="H32" s="83"/>
      <c r="I32" s="89"/>
      <c r="J32" s="49"/>
    </row>
    <row r="33" spans="1:9" ht="12.75">
      <c r="A33" s="73"/>
      <c r="B33" s="73"/>
      <c r="C33" s="73"/>
      <c r="D33" s="73"/>
      <c r="E33" s="73"/>
      <c r="F33" s="73"/>
      <c r="G33" s="73"/>
      <c r="H33" s="73"/>
      <c r="I33" s="73"/>
    </row>
  </sheetData>
  <sheetProtection/>
  <mergeCells count="78">
    <mergeCell ref="G29:I29"/>
    <mergeCell ref="G30:I30"/>
    <mergeCell ref="G31:I31"/>
    <mergeCell ref="G32:I32"/>
    <mergeCell ref="A29:C29"/>
    <mergeCell ref="A30:C30"/>
    <mergeCell ref="A31:C31"/>
    <mergeCell ref="A32:C32"/>
    <mergeCell ref="D28:F28"/>
    <mergeCell ref="D29:F29"/>
    <mergeCell ref="D30:F30"/>
    <mergeCell ref="D31:F31"/>
    <mergeCell ref="D32:F32"/>
    <mergeCell ref="A26:B26"/>
    <mergeCell ref="D25:E25"/>
    <mergeCell ref="D26:E26"/>
    <mergeCell ref="G25:H25"/>
    <mergeCell ref="G26:H26"/>
    <mergeCell ref="A28:C28"/>
    <mergeCell ref="G28:I28"/>
    <mergeCell ref="G19:H19"/>
    <mergeCell ref="G20:H20"/>
    <mergeCell ref="G21:H21"/>
    <mergeCell ref="G22:H22"/>
    <mergeCell ref="A24:B24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34"/>
  <sheetViews>
    <sheetView zoomScalePageLayoutView="0" workbookViewId="0" topLeftCell="A175">
      <selection activeCell="A1" sqref="A1:L1"/>
    </sheetView>
  </sheetViews>
  <sheetFormatPr defaultColWidth="9.14062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  <col min="38" max="16384" width="11.421875" style="0" customWidth="1"/>
  </cols>
  <sheetData>
    <row r="1" spans="1:12" ht="21.75" customHeight="1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12.75">
      <c r="A2" s="2" t="s">
        <v>1</v>
      </c>
      <c r="B2" s="14"/>
      <c r="C2" s="14"/>
      <c r="D2" s="21" t="s">
        <v>419</v>
      </c>
      <c r="E2" s="26" t="s">
        <v>606</v>
      </c>
      <c r="F2" s="14"/>
      <c r="G2" s="26"/>
      <c r="H2" s="14"/>
      <c r="I2" s="26" t="s">
        <v>630</v>
      </c>
      <c r="J2" s="26" t="s">
        <v>635</v>
      </c>
      <c r="K2" s="14"/>
      <c r="L2" s="45"/>
      <c r="M2" s="48"/>
    </row>
    <row r="3" spans="1:13" ht="12.75">
      <c r="A3" s="3"/>
      <c r="B3" s="15"/>
      <c r="C3" s="15"/>
      <c r="D3" s="22"/>
      <c r="E3" s="15"/>
      <c r="F3" s="15"/>
      <c r="G3" s="15"/>
      <c r="H3" s="15"/>
      <c r="I3" s="15"/>
      <c r="J3" s="15"/>
      <c r="K3" s="15"/>
      <c r="L3" s="46"/>
      <c r="M3" s="48"/>
    </row>
    <row r="4" spans="1:13" ht="12.75">
      <c r="A4" s="4" t="s">
        <v>2</v>
      </c>
      <c r="B4" s="15"/>
      <c r="C4" s="15"/>
      <c r="D4" s="23" t="s">
        <v>420</v>
      </c>
      <c r="E4" s="23" t="s">
        <v>607</v>
      </c>
      <c r="F4" s="15"/>
      <c r="G4" s="32">
        <v>42377</v>
      </c>
      <c r="H4" s="15"/>
      <c r="I4" s="23" t="s">
        <v>631</v>
      </c>
      <c r="J4" s="23" t="s">
        <v>636</v>
      </c>
      <c r="K4" s="15"/>
      <c r="L4" s="46"/>
      <c r="M4" s="48"/>
    </row>
    <row r="5" spans="1:13" ht="12.75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46"/>
      <c r="M5" s="48"/>
    </row>
    <row r="6" spans="1:13" ht="12.75">
      <c r="A6" s="4" t="s">
        <v>3</v>
      </c>
      <c r="B6" s="15"/>
      <c r="C6" s="15"/>
      <c r="D6" s="23" t="s">
        <v>421</v>
      </c>
      <c r="E6" s="23" t="s">
        <v>608</v>
      </c>
      <c r="F6" s="15"/>
      <c r="G6" s="15"/>
      <c r="H6" s="15"/>
      <c r="I6" s="23" t="s">
        <v>632</v>
      </c>
      <c r="J6" s="23"/>
      <c r="K6" s="15"/>
      <c r="L6" s="46"/>
      <c r="M6" s="48"/>
    </row>
    <row r="7" spans="1:13" ht="12.7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46"/>
      <c r="M7" s="48"/>
    </row>
    <row r="8" spans="1:13" ht="12.75">
      <c r="A8" s="4" t="s">
        <v>4</v>
      </c>
      <c r="B8" s="15"/>
      <c r="C8" s="15"/>
      <c r="D8" s="23"/>
      <c r="E8" s="23" t="s">
        <v>609</v>
      </c>
      <c r="F8" s="15"/>
      <c r="G8" s="32">
        <v>42377</v>
      </c>
      <c r="H8" s="15"/>
      <c r="I8" s="23" t="s">
        <v>633</v>
      </c>
      <c r="J8" s="23"/>
      <c r="K8" s="15"/>
      <c r="L8" s="46"/>
      <c r="M8" s="48"/>
    </row>
    <row r="9" spans="1:13" ht="12.75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47"/>
      <c r="M9" s="48"/>
    </row>
    <row r="10" spans="1:13" ht="12.75">
      <c r="A10" s="6" t="s">
        <v>5</v>
      </c>
      <c r="B10" s="17" t="s">
        <v>5</v>
      </c>
      <c r="C10" s="17" t="s">
        <v>5</v>
      </c>
      <c r="D10" s="17" t="s">
        <v>5</v>
      </c>
      <c r="E10" s="17" t="s">
        <v>5</v>
      </c>
      <c r="F10" s="17" t="s">
        <v>5</v>
      </c>
      <c r="G10" s="33" t="s">
        <v>625</v>
      </c>
      <c r="H10" s="36" t="s">
        <v>627</v>
      </c>
      <c r="I10" s="38"/>
      <c r="J10" s="41"/>
      <c r="K10" s="36" t="s">
        <v>638</v>
      </c>
      <c r="L10" s="41"/>
      <c r="M10" s="49"/>
    </row>
    <row r="11" spans="1:24" ht="12.75">
      <c r="A11" s="7" t="s">
        <v>6</v>
      </c>
      <c r="B11" s="18" t="s">
        <v>257</v>
      </c>
      <c r="C11" s="18" t="s">
        <v>265</v>
      </c>
      <c r="D11" s="18" t="s">
        <v>422</v>
      </c>
      <c r="E11" s="18" t="s">
        <v>610</v>
      </c>
      <c r="F11" s="29" t="s">
        <v>624</v>
      </c>
      <c r="G11" s="34" t="s">
        <v>626</v>
      </c>
      <c r="H11" s="37" t="s">
        <v>628</v>
      </c>
      <c r="I11" s="39" t="s">
        <v>634</v>
      </c>
      <c r="J11" s="42" t="s">
        <v>637</v>
      </c>
      <c r="K11" s="37" t="s">
        <v>625</v>
      </c>
      <c r="L11" s="42" t="s">
        <v>637</v>
      </c>
      <c r="M11" s="49"/>
      <c r="P11" s="44" t="s">
        <v>639</v>
      </c>
      <c r="Q11" s="44" t="s">
        <v>640</v>
      </c>
      <c r="R11" s="44" t="s">
        <v>645</v>
      </c>
      <c r="S11" s="44" t="s">
        <v>646</v>
      </c>
      <c r="T11" s="44" t="s">
        <v>647</v>
      </c>
      <c r="U11" s="44" t="s">
        <v>648</v>
      </c>
      <c r="V11" s="44" t="s">
        <v>649</v>
      </c>
      <c r="W11" s="44" t="s">
        <v>650</v>
      </c>
      <c r="X11" s="44" t="s">
        <v>651</v>
      </c>
    </row>
    <row r="12" spans="1:12" ht="12.75">
      <c r="A12" s="8"/>
      <c r="B12" s="8"/>
      <c r="C12" s="19"/>
      <c r="D12" s="24" t="s">
        <v>423</v>
      </c>
      <c r="E12" s="27"/>
      <c r="F12" s="27"/>
      <c r="G12" s="27"/>
      <c r="H12" s="51">
        <f>H13+H15+H25+H31+H38+H42+H50+H55+H66+H69+H77+H80</f>
        <v>0</v>
      </c>
      <c r="I12" s="51">
        <f>I13+I15+I25+I31+I38+I42+I50+I55+I66+I69+I77+I80</f>
        <v>0</v>
      </c>
      <c r="J12" s="51">
        <f>H12+I12</f>
        <v>0</v>
      </c>
      <c r="K12" s="43"/>
      <c r="L12" s="51">
        <f>L13+L15+L25+L31+L38+L42+L50+L55+L66+L69+L77+L80</f>
        <v>945.0058454000001</v>
      </c>
    </row>
    <row r="13" spans="1:37" ht="12.75">
      <c r="A13" s="9"/>
      <c r="B13" s="9"/>
      <c r="C13" s="20" t="s">
        <v>266</v>
      </c>
      <c r="D13" s="25" t="s">
        <v>424</v>
      </c>
      <c r="E13" s="28"/>
      <c r="F13" s="28"/>
      <c r="G13" s="28"/>
      <c r="H13" s="52">
        <f>SUM(H14:H14)</f>
        <v>0</v>
      </c>
      <c r="I13" s="52">
        <f>SUM(I14:I14)</f>
        <v>0</v>
      </c>
      <c r="J13" s="52">
        <f>H13+I13</f>
        <v>0</v>
      </c>
      <c r="K13" s="44"/>
      <c r="L13" s="52">
        <f>SUM(L14:L14)</f>
        <v>0</v>
      </c>
      <c r="P13" s="52">
        <f>IF(Q13="PR",J13,SUM(O14:O14))</f>
        <v>0</v>
      </c>
      <c r="Q13" s="44" t="s">
        <v>641</v>
      </c>
      <c r="R13" s="52">
        <f>IF(Q13="HS",H13,0)</f>
        <v>0</v>
      </c>
      <c r="S13" s="52">
        <f>IF(Q13="HS",I13-P13,0)</f>
        <v>0</v>
      </c>
      <c r="T13" s="52">
        <f>IF(Q13="PS",H13,0)</f>
        <v>0</v>
      </c>
      <c r="U13" s="52">
        <f>IF(Q13="PS",I13-P13,0)</f>
        <v>0</v>
      </c>
      <c r="V13" s="52">
        <f>IF(Q13="MP",H13,0)</f>
        <v>0</v>
      </c>
      <c r="W13" s="52">
        <f>IF(Q13="MP",I13-P13,0)</f>
        <v>0</v>
      </c>
      <c r="X13" s="52">
        <f>IF(Q13="OM",H13,0)</f>
        <v>0</v>
      </c>
      <c r="Y13" s="44" t="s">
        <v>258</v>
      </c>
      <c r="AI13" s="52">
        <f>SUM(Z14:Z14)</f>
        <v>0</v>
      </c>
      <c r="AJ13" s="52">
        <f>SUM(AA14:AA14)</f>
        <v>0</v>
      </c>
      <c r="AK13" s="52">
        <f>SUM(AB14:AB14)</f>
        <v>0</v>
      </c>
    </row>
    <row r="14" spans="1:32" ht="12.75">
      <c r="A14" s="10" t="s">
        <v>7</v>
      </c>
      <c r="B14" s="10" t="s">
        <v>258</v>
      </c>
      <c r="C14" s="10" t="s">
        <v>267</v>
      </c>
      <c r="D14" s="10" t="s">
        <v>425</v>
      </c>
      <c r="E14" s="10" t="s">
        <v>611</v>
      </c>
      <c r="F14" s="30">
        <v>1</v>
      </c>
      <c r="H14" s="30">
        <f>ROUND(F14*AE14,2)</f>
        <v>0</v>
      </c>
      <c r="I14" s="30">
        <f>J14-H14</f>
        <v>0</v>
      </c>
      <c r="J14" s="30">
        <f>ROUND(F14*G14,2)</f>
        <v>0</v>
      </c>
      <c r="K14" s="30">
        <v>0</v>
      </c>
      <c r="L14" s="30">
        <f>F14*K14</f>
        <v>0</v>
      </c>
      <c r="N14" s="50" t="s">
        <v>7</v>
      </c>
      <c r="O14" s="30">
        <f>IF(N14="5",I14,0)</f>
        <v>0</v>
      </c>
      <c r="Z14" s="30">
        <f>IF(AD14=0,J14,0)</f>
        <v>0</v>
      </c>
      <c r="AA14" s="30">
        <f>IF(AD14=15,J14,0)</f>
        <v>0</v>
      </c>
      <c r="AB14" s="30">
        <f>IF(AD14=21,J14,0)</f>
        <v>0</v>
      </c>
      <c r="AD14" s="30">
        <v>21</v>
      </c>
      <c r="AE14" s="30">
        <f>G14*0</f>
        <v>0</v>
      </c>
      <c r="AF14" s="30">
        <f>G14*(1-0)</f>
        <v>0</v>
      </c>
    </row>
    <row r="15" spans="1:37" ht="12.75">
      <c r="A15" s="9"/>
      <c r="B15" s="9"/>
      <c r="C15" s="20" t="s">
        <v>17</v>
      </c>
      <c r="D15" s="25" t="s">
        <v>426</v>
      </c>
      <c r="E15" s="28"/>
      <c r="F15" s="28"/>
      <c r="G15" s="28"/>
      <c r="H15" s="52">
        <f>SUM(H16:H24)</f>
        <v>0</v>
      </c>
      <c r="I15" s="52">
        <f>SUM(I16:I24)</f>
        <v>0</v>
      </c>
      <c r="J15" s="52">
        <f>H15+I15</f>
        <v>0</v>
      </c>
      <c r="K15" s="44"/>
      <c r="L15" s="52">
        <f>SUM(L16:L24)</f>
        <v>170.52525</v>
      </c>
      <c r="P15" s="52">
        <f>IF(Q15="PR",J15,SUM(O16:O24))</f>
        <v>0</v>
      </c>
      <c r="Q15" s="44" t="s">
        <v>641</v>
      </c>
      <c r="R15" s="52">
        <f>IF(Q15="HS",H15,0)</f>
        <v>0</v>
      </c>
      <c r="S15" s="52">
        <f>IF(Q15="HS",I15-P15,0)</f>
        <v>0</v>
      </c>
      <c r="T15" s="52">
        <f>IF(Q15="PS",H15,0)</f>
        <v>0</v>
      </c>
      <c r="U15" s="52">
        <f>IF(Q15="PS",I15-P15,0)</f>
        <v>0</v>
      </c>
      <c r="V15" s="52">
        <f>IF(Q15="MP",H15,0)</f>
        <v>0</v>
      </c>
      <c r="W15" s="52">
        <f>IF(Q15="MP",I15-P15,0)</f>
        <v>0</v>
      </c>
      <c r="X15" s="52">
        <f>IF(Q15="OM",H15,0)</f>
        <v>0</v>
      </c>
      <c r="Y15" s="44" t="s">
        <v>258</v>
      </c>
      <c r="AI15" s="52">
        <f>SUM(Z16:Z24)</f>
        <v>0</v>
      </c>
      <c r="AJ15" s="52">
        <f>SUM(AA16:AA24)</f>
        <v>0</v>
      </c>
      <c r="AK15" s="52">
        <f>SUM(AB16:AB24)</f>
        <v>0</v>
      </c>
    </row>
    <row r="16" spans="1:32" ht="12.75">
      <c r="A16" s="10" t="s">
        <v>8</v>
      </c>
      <c r="B16" s="10" t="s">
        <v>258</v>
      </c>
      <c r="C16" s="10" t="s">
        <v>268</v>
      </c>
      <c r="D16" s="10" t="s">
        <v>427</v>
      </c>
      <c r="E16" s="10" t="s">
        <v>612</v>
      </c>
      <c r="F16" s="30">
        <v>12.5</v>
      </c>
      <c r="H16" s="30">
        <f aca="true" t="shared" si="0" ref="H16:H24">ROUND(F16*AE16,2)</f>
        <v>0</v>
      </c>
      <c r="I16" s="30">
        <f aca="true" t="shared" si="1" ref="I16:I24">J16-H16</f>
        <v>0</v>
      </c>
      <c r="J16" s="30">
        <f aca="true" t="shared" si="2" ref="J16:J24">ROUND(F16*G16,2)</f>
        <v>0</v>
      </c>
      <c r="K16" s="30">
        <v>0</v>
      </c>
      <c r="L16" s="30">
        <f aca="true" t="shared" si="3" ref="L16:L24">F16*K16</f>
        <v>0</v>
      </c>
      <c r="N16" s="50" t="s">
        <v>7</v>
      </c>
      <c r="O16" s="30">
        <f aca="true" t="shared" si="4" ref="O16:O24">IF(N16="5",I16,0)</f>
        <v>0</v>
      </c>
      <c r="Z16" s="30">
        <f aca="true" t="shared" si="5" ref="Z16:Z24">IF(AD16=0,J16,0)</f>
        <v>0</v>
      </c>
      <c r="AA16" s="30">
        <f aca="true" t="shared" si="6" ref="AA16:AA24">IF(AD16=15,J16,0)</f>
        <v>0</v>
      </c>
      <c r="AB16" s="30">
        <f aca="true" t="shared" si="7" ref="AB16:AB24">IF(AD16=21,J16,0)</f>
        <v>0</v>
      </c>
      <c r="AD16" s="30">
        <v>21</v>
      </c>
      <c r="AE16" s="30">
        <f>G16*0</f>
        <v>0</v>
      </c>
      <c r="AF16" s="30">
        <f>G16*(1-0)</f>
        <v>0</v>
      </c>
    </row>
    <row r="17" spans="1:32" ht="12.75">
      <c r="A17" s="10" t="s">
        <v>9</v>
      </c>
      <c r="B17" s="10" t="s">
        <v>258</v>
      </c>
      <c r="C17" s="10" t="s">
        <v>269</v>
      </c>
      <c r="D17" s="10" t="s">
        <v>428</v>
      </c>
      <c r="E17" s="10" t="s">
        <v>613</v>
      </c>
      <c r="F17" s="30">
        <v>2</v>
      </c>
      <c r="H17" s="30">
        <f t="shared" si="0"/>
        <v>0</v>
      </c>
      <c r="I17" s="30">
        <f t="shared" si="1"/>
        <v>0</v>
      </c>
      <c r="J17" s="30">
        <f t="shared" si="2"/>
        <v>0</v>
      </c>
      <c r="K17" s="30">
        <v>0</v>
      </c>
      <c r="L17" s="30">
        <f t="shared" si="3"/>
        <v>0</v>
      </c>
      <c r="N17" s="50" t="s">
        <v>7</v>
      </c>
      <c r="O17" s="30">
        <f t="shared" si="4"/>
        <v>0</v>
      </c>
      <c r="Z17" s="30">
        <f t="shared" si="5"/>
        <v>0</v>
      </c>
      <c r="AA17" s="30">
        <f t="shared" si="6"/>
        <v>0</v>
      </c>
      <c r="AB17" s="30">
        <f t="shared" si="7"/>
        <v>0</v>
      </c>
      <c r="AD17" s="30">
        <v>21</v>
      </c>
      <c r="AE17" s="30">
        <f>G17*0</f>
        <v>0</v>
      </c>
      <c r="AF17" s="30">
        <f>G17*(1-0)</f>
        <v>0</v>
      </c>
    </row>
    <row r="18" spans="1:32" ht="12.75">
      <c r="A18" s="10" t="s">
        <v>10</v>
      </c>
      <c r="B18" s="10" t="s">
        <v>258</v>
      </c>
      <c r="C18" s="10" t="s">
        <v>270</v>
      </c>
      <c r="D18" s="10" t="s">
        <v>429</v>
      </c>
      <c r="E18" s="10" t="s">
        <v>613</v>
      </c>
      <c r="F18" s="30">
        <v>2</v>
      </c>
      <c r="H18" s="30">
        <f t="shared" si="0"/>
        <v>0</v>
      </c>
      <c r="I18" s="30">
        <f t="shared" si="1"/>
        <v>0</v>
      </c>
      <c r="J18" s="30">
        <f t="shared" si="2"/>
        <v>0</v>
      </c>
      <c r="K18" s="30">
        <v>5E-05</v>
      </c>
      <c r="L18" s="30">
        <f t="shared" si="3"/>
        <v>0.0001</v>
      </c>
      <c r="N18" s="50" t="s">
        <v>7</v>
      </c>
      <c r="O18" s="30">
        <f t="shared" si="4"/>
        <v>0</v>
      </c>
      <c r="Z18" s="30">
        <f t="shared" si="5"/>
        <v>0</v>
      </c>
      <c r="AA18" s="30">
        <f t="shared" si="6"/>
        <v>0</v>
      </c>
      <c r="AB18" s="30">
        <f t="shared" si="7"/>
        <v>0</v>
      </c>
      <c r="AD18" s="30">
        <v>21</v>
      </c>
      <c r="AE18" s="30">
        <f>G18*0.00932835820895522</f>
        <v>0</v>
      </c>
      <c r="AF18" s="30">
        <f>G18*(1-0.00932835820895522)</f>
        <v>0</v>
      </c>
    </row>
    <row r="19" spans="1:32" ht="12.75">
      <c r="A19" s="10" t="s">
        <v>11</v>
      </c>
      <c r="B19" s="10" t="s">
        <v>258</v>
      </c>
      <c r="C19" s="10" t="s">
        <v>271</v>
      </c>
      <c r="D19" s="10" t="s">
        <v>430</v>
      </c>
      <c r="E19" s="10" t="s">
        <v>612</v>
      </c>
      <c r="F19" s="30">
        <v>18</v>
      </c>
      <c r="H19" s="30">
        <f t="shared" si="0"/>
        <v>0</v>
      </c>
      <c r="I19" s="30">
        <f t="shared" si="1"/>
        <v>0</v>
      </c>
      <c r="J19" s="30">
        <f t="shared" si="2"/>
        <v>0</v>
      </c>
      <c r="K19" s="30">
        <v>5E-05</v>
      </c>
      <c r="L19" s="30">
        <f t="shared" si="3"/>
        <v>0.0009000000000000001</v>
      </c>
      <c r="N19" s="50" t="s">
        <v>7</v>
      </c>
      <c r="O19" s="30">
        <f t="shared" si="4"/>
        <v>0</v>
      </c>
      <c r="Z19" s="30">
        <f t="shared" si="5"/>
        <v>0</v>
      </c>
      <c r="AA19" s="30">
        <f t="shared" si="6"/>
        <v>0</v>
      </c>
      <c r="AB19" s="30">
        <f t="shared" si="7"/>
        <v>0</v>
      </c>
      <c r="AD19" s="30">
        <v>21</v>
      </c>
      <c r="AE19" s="30">
        <f>G19*0.167281672816728</f>
        <v>0</v>
      </c>
      <c r="AF19" s="30">
        <f>G19*(1-0.167281672816728)</f>
        <v>0</v>
      </c>
    </row>
    <row r="20" spans="1:32" ht="12.75">
      <c r="A20" s="10" t="s">
        <v>12</v>
      </c>
      <c r="B20" s="10" t="s">
        <v>258</v>
      </c>
      <c r="C20" s="10" t="s">
        <v>272</v>
      </c>
      <c r="D20" s="10" t="s">
        <v>431</v>
      </c>
      <c r="E20" s="10" t="s">
        <v>612</v>
      </c>
      <c r="F20" s="30">
        <v>184.75</v>
      </c>
      <c r="H20" s="30">
        <f t="shared" si="0"/>
        <v>0</v>
      </c>
      <c r="I20" s="30">
        <f t="shared" si="1"/>
        <v>0</v>
      </c>
      <c r="J20" s="30">
        <f t="shared" si="2"/>
        <v>0</v>
      </c>
      <c r="K20" s="30">
        <v>0.128</v>
      </c>
      <c r="L20" s="30">
        <f t="shared" si="3"/>
        <v>23.648</v>
      </c>
      <c r="N20" s="50" t="s">
        <v>7</v>
      </c>
      <c r="O20" s="30">
        <f t="shared" si="4"/>
        <v>0</v>
      </c>
      <c r="Z20" s="30">
        <f t="shared" si="5"/>
        <v>0</v>
      </c>
      <c r="AA20" s="30">
        <f t="shared" si="6"/>
        <v>0</v>
      </c>
      <c r="AB20" s="30">
        <f t="shared" si="7"/>
        <v>0</v>
      </c>
      <c r="AD20" s="30">
        <v>21</v>
      </c>
      <c r="AE20" s="30">
        <f>G20*0</f>
        <v>0</v>
      </c>
      <c r="AF20" s="30">
        <f>G20*(1-0)</f>
        <v>0</v>
      </c>
    </row>
    <row r="21" spans="1:32" ht="12.75">
      <c r="A21" s="10" t="s">
        <v>13</v>
      </c>
      <c r="B21" s="10" t="s">
        <v>258</v>
      </c>
      <c r="C21" s="10" t="s">
        <v>273</v>
      </c>
      <c r="D21" s="10" t="s">
        <v>432</v>
      </c>
      <c r="E21" s="10" t="s">
        <v>612</v>
      </c>
      <c r="F21" s="30">
        <v>184.75</v>
      </c>
      <c r="H21" s="30">
        <f t="shared" si="0"/>
        <v>0</v>
      </c>
      <c r="I21" s="30">
        <f t="shared" si="1"/>
        <v>0</v>
      </c>
      <c r="J21" s="30">
        <f t="shared" si="2"/>
        <v>0</v>
      </c>
      <c r="K21" s="30">
        <v>0.235</v>
      </c>
      <c r="L21" s="30">
        <f t="shared" si="3"/>
        <v>43.41625</v>
      </c>
      <c r="N21" s="50" t="s">
        <v>7</v>
      </c>
      <c r="O21" s="30">
        <f t="shared" si="4"/>
        <v>0</v>
      </c>
      <c r="Z21" s="30">
        <f t="shared" si="5"/>
        <v>0</v>
      </c>
      <c r="AA21" s="30">
        <f t="shared" si="6"/>
        <v>0</v>
      </c>
      <c r="AB21" s="30">
        <f t="shared" si="7"/>
        <v>0</v>
      </c>
      <c r="AD21" s="30">
        <v>21</v>
      </c>
      <c r="AE21" s="30">
        <f>G21*0</f>
        <v>0</v>
      </c>
      <c r="AF21" s="30">
        <f>G21*(1-0)</f>
        <v>0</v>
      </c>
    </row>
    <row r="22" spans="1:32" ht="12.75">
      <c r="A22" s="10" t="s">
        <v>14</v>
      </c>
      <c r="B22" s="10" t="s">
        <v>258</v>
      </c>
      <c r="C22" s="10" t="s">
        <v>274</v>
      </c>
      <c r="D22" s="10" t="s">
        <v>433</v>
      </c>
      <c r="E22" s="10" t="s">
        <v>612</v>
      </c>
      <c r="F22" s="30">
        <v>184.75</v>
      </c>
      <c r="H22" s="30">
        <f t="shared" si="0"/>
        <v>0</v>
      </c>
      <c r="I22" s="30">
        <f t="shared" si="1"/>
        <v>0</v>
      </c>
      <c r="J22" s="30">
        <f t="shared" si="2"/>
        <v>0</v>
      </c>
      <c r="K22" s="30">
        <v>0.56</v>
      </c>
      <c r="L22" s="30">
        <f t="shared" si="3"/>
        <v>103.46000000000001</v>
      </c>
      <c r="N22" s="50" t="s">
        <v>7</v>
      </c>
      <c r="O22" s="30">
        <f t="shared" si="4"/>
        <v>0</v>
      </c>
      <c r="Z22" s="30">
        <f t="shared" si="5"/>
        <v>0</v>
      </c>
      <c r="AA22" s="30">
        <f t="shared" si="6"/>
        <v>0</v>
      </c>
      <c r="AB22" s="30">
        <f t="shared" si="7"/>
        <v>0</v>
      </c>
      <c r="AD22" s="30">
        <v>21</v>
      </c>
      <c r="AE22" s="30">
        <f>G22*0</f>
        <v>0</v>
      </c>
      <c r="AF22" s="30">
        <f>G22*(1-0)</f>
        <v>0</v>
      </c>
    </row>
    <row r="23" spans="1:32" ht="12.75">
      <c r="A23" s="10" t="s">
        <v>15</v>
      </c>
      <c r="B23" s="10" t="s">
        <v>258</v>
      </c>
      <c r="C23" s="10" t="s">
        <v>275</v>
      </c>
      <c r="D23" s="10" t="s">
        <v>434</v>
      </c>
      <c r="E23" s="10" t="s">
        <v>614</v>
      </c>
      <c r="F23" s="30">
        <v>170.5253</v>
      </c>
      <c r="H23" s="30">
        <f t="shared" si="0"/>
        <v>0</v>
      </c>
      <c r="I23" s="30">
        <f t="shared" si="1"/>
        <v>0</v>
      </c>
      <c r="J23" s="30">
        <f t="shared" si="2"/>
        <v>0</v>
      </c>
      <c r="K23" s="30">
        <v>0</v>
      </c>
      <c r="L23" s="30">
        <f t="shared" si="3"/>
        <v>0</v>
      </c>
      <c r="N23" s="50" t="s">
        <v>11</v>
      </c>
      <c r="O23" s="30">
        <f t="shared" si="4"/>
        <v>0</v>
      </c>
      <c r="Z23" s="30">
        <f t="shared" si="5"/>
        <v>0</v>
      </c>
      <c r="AA23" s="30">
        <f t="shared" si="6"/>
        <v>0</v>
      </c>
      <c r="AB23" s="30">
        <f t="shared" si="7"/>
        <v>0</v>
      </c>
      <c r="AD23" s="30">
        <v>21</v>
      </c>
      <c r="AE23" s="30">
        <f>G23*0</f>
        <v>0</v>
      </c>
      <c r="AF23" s="30">
        <f>G23*(1-0)</f>
        <v>0</v>
      </c>
    </row>
    <row r="24" spans="1:32" ht="12.75">
      <c r="A24" s="10" t="s">
        <v>16</v>
      </c>
      <c r="B24" s="10" t="s">
        <v>258</v>
      </c>
      <c r="C24" s="10" t="s">
        <v>276</v>
      </c>
      <c r="D24" s="10" t="s">
        <v>435</v>
      </c>
      <c r="E24" s="10" t="s">
        <v>614</v>
      </c>
      <c r="F24" s="30">
        <v>1364.2</v>
      </c>
      <c r="H24" s="30">
        <f t="shared" si="0"/>
        <v>0</v>
      </c>
      <c r="I24" s="30">
        <f t="shared" si="1"/>
        <v>0</v>
      </c>
      <c r="J24" s="30">
        <f t="shared" si="2"/>
        <v>0</v>
      </c>
      <c r="K24" s="30">
        <v>0</v>
      </c>
      <c r="L24" s="30">
        <f t="shared" si="3"/>
        <v>0</v>
      </c>
      <c r="N24" s="50" t="s">
        <v>11</v>
      </c>
      <c r="O24" s="30">
        <f t="shared" si="4"/>
        <v>0</v>
      </c>
      <c r="Z24" s="30">
        <f t="shared" si="5"/>
        <v>0</v>
      </c>
      <c r="AA24" s="30">
        <f t="shared" si="6"/>
        <v>0</v>
      </c>
      <c r="AB24" s="30">
        <f t="shared" si="7"/>
        <v>0</v>
      </c>
      <c r="AD24" s="30">
        <v>21</v>
      </c>
      <c r="AE24" s="30">
        <f>G24*0</f>
        <v>0</v>
      </c>
      <c r="AF24" s="30">
        <f>G24*(1-0)</f>
        <v>0</v>
      </c>
    </row>
    <row r="25" spans="1:37" ht="12.75">
      <c r="A25" s="9"/>
      <c r="B25" s="9"/>
      <c r="C25" s="20" t="s">
        <v>18</v>
      </c>
      <c r="D25" s="25" t="s">
        <v>436</v>
      </c>
      <c r="E25" s="28"/>
      <c r="F25" s="28"/>
      <c r="G25" s="28"/>
      <c r="H25" s="52">
        <f>SUM(H26:H30)</f>
        <v>0</v>
      </c>
      <c r="I25" s="52">
        <f>SUM(I26:I30)</f>
        <v>0</v>
      </c>
      <c r="J25" s="52">
        <f>H25+I25</f>
        <v>0</v>
      </c>
      <c r="K25" s="44"/>
      <c r="L25" s="52">
        <f>SUM(L26:L30)</f>
        <v>0</v>
      </c>
      <c r="P25" s="52">
        <f>IF(Q25="PR",J25,SUM(O26:O30))</f>
        <v>0</v>
      </c>
      <c r="Q25" s="44" t="s">
        <v>641</v>
      </c>
      <c r="R25" s="52">
        <f>IF(Q25="HS",H25,0)</f>
        <v>0</v>
      </c>
      <c r="S25" s="52">
        <f>IF(Q25="HS",I25-P25,0)</f>
        <v>0</v>
      </c>
      <c r="T25" s="52">
        <f>IF(Q25="PS",H25,0)</f>
        <v>0</v>
      </c>
      <c r="U25" s="52">
        <f>IF(Q25="PS",I25-P25,0)</f>
        <v>0</v>
      </c>
      <c r="V25" s="52">
        <f>IF(Q25="MP",H25,0)</f>
        <v>0</v>
      </c>
      <c r="W25" s="52">
        <f>IF(Q25="MP",I25-P25,0)</f>
        <v>0</v>
      </c>
      <c r="X25" s="52">
        <f>IF(Q25="OM",H25,0)</f>
        <v>0</v>
      </c>
      <c r="Y25" s="44" t="s">
        <v>258</v>
      </c>
      <c r="AI25" s="52">
        <f>SUM(Z26:Z30)</f>
        <v>0</v>
      </c>
      <c r="AJ25" s="52">
        <f>SUM(AA26:AA30)</f>
        <v>0</v>
      </c>
      <c r="AK25" s="52">
        <f>SUM(AB26:AB30)</f>
        <v>0</v>
      </c>
    </row>
    <row r="26" spans="1:32" ht="12.75">
      <c r="A26" s="10" t="s">
        <v>17</v>
      </c>
      <c r="B26" s="10" t="s">
        <v>258</v>
      </c>
      <c r="C26" s="10" t="s">
        <v>277</v>
      </c>
      <c r="D26" s="10" t="s">
        <v>437</v>
      </c>
      <c r="E26" s="10" t="s">
        <v>615</v>
      </c>
      <c r="F26" s="30">
        <v>45.92</v>
      </c>
      <c r="H26" s="30">
        <f>ROUND(F26*AE26,2)</f>
        <v>0</v>
      </c>
      <c r="I26" s="30">
        <f>J26-H26</f>
        <v>0</v>
      </c>
      <c r="J26" s="30">
        <f>ROUND(F26*G26,2)</f>
        <v>0</v>
      </c>
      <c r="K26" s="30">
        <v>0</v>
      </c>
      <c r="L26" s="30">
        <f>F26*K26</f>
        <v>0</v>
      </c>
      <c r="N26" s="50" t="s">
        <v>7</v>
      </c>
      <c r="O26" s="30">
        <f>IF(N26="5",I26,0)</f>
        <v>0</v>
      </c>
      <c r="Z26" s="30">
        <f>IF(AD26=0,J26,0)</f>
        <v>0</v>
      </c>
      <c r="AA26" s="30">
        <f>IF(AD26=15,J26,0)</f>
        <v>0</v>
      </c>
      <c r="AB26" s="30">
        <f>IF(AD26=21,J26,0)</f>
        <v>0</v>
      </c>
      <c r="AD26" s="30">
        <v>21</v>
      </c>
      <c r="AE26" s="30">
        <f>G26*0</f>
        <v>0</v>
      </c>
      <c r="AF26" s="30">
        <f>G26*(1-0)</f>
        <v>0</v>
      </c>
    </row>
    <row r="27" spans="1:32" ht="12.75">
      <c r="A27" s="10" t="s">
        <v>18</v>
      </c>
      <c r="B27" s="10" t="s">
        <v>258</v>
      </c>
      <c r="C27" s="10" t="s">
        <v>278</v>
      </c>
      <c r="D27" s="10" t="s">
        <v>438</v>
      </c>
      <c r="E27" s="10" t="s">
        <v>615</v>
      </c>
      <c r="F27" s="30">
        <v>54.17</v>
      </c>
      <c r="H27" s="30">
        <f>ROUND(F27*AE27,2)</f>
        <v>0</v>
      </c>
      <c r="I27" s="30">
        <f>J27-H27</f>
        <v>0</v>
      </c>
      <c r="J27" s="30">
        <f>ROUND(F27*G27,2)</f>
        <v>0</v>
      </c>
      <c r="K27" s="30">
        <v>0</v>
      </c>
      <c r="L27" s="30">
        <f>F27*K27</f>
        <v>0</v>
      </c>
      <c r="N27" s="50" t="s">
        <v>7</v>
      </c>
      <c r="O27" s="30">
        <f>IF(N27="5",I27,0)</f>
        <v>0</v>
      </c>
      <c r="Z27" s="30">
        <f>IF(AD27=0,J27,0)</f>
        <v>0</v>
      </c>
      <c r="AA27" s="30">
        <f>IF(AD27=15,J27,0)</f>
        <v>0</v>
      </c>
      <c r="AB27" s="30">
        <f>IF(AD27=21,J27,0)</f>
        <v>0</v>
      </c>
      <c r="AD27" s="30">
        <v>21</v>
      </c>
      <c r="AE27" s="30">
        <f>G27*0</f>
        <v>0</v>
      </c>
      <c r="AF27" s="30">
        <f>G27*(1-0)</f>
        <v>0</v>
      </c>
    </row>
    <row r="28" spans="1:32" ht="12.75">
      <c r="A28" s="10" t="s">
        <v>19</v>
      </c>
      <c r="B28" s="10" t="s">
        <v>258</v>
      </c>
      <c r="C28" s="10" t="s">
        <v>279</v>
      </c>
      <c r="D28" s="10" t="s">
        <v>439</v>
      </c>
      <c r="E28" s="10" t="s">
        <v>615</v>
      </c>
      <c r="F28" s="30">
        <v>54.17</v>
      </c>
      <c r="H28" s="30">
        <f>ROUND(F28*AE28,2)</f>
        <v>0</v>
      </c>
      <c r="I28" s="30">
        <f>J28-H28</f>
        <v>0</v>
      </c>
      <c r="J28" s="30">
        <f>ROUND(F28*G28,2)</f>
        <v>0</v>
      </c>
      <c r="K28" s="30">
        <v>0</v>
      </c>
      <c r="L28" s="30">
        <f>F28*K28</f>
        <v>0</v>
      </c>
      <c r="N28" s="50" t="s">
        <v>7</v>
      </c>
      <c r="O28" s="30">
        <f>IF(N28="5",I28,0)</f>
        <v>0</v>
      </c>
      <c r="Z28" s="30">
        <f>IF(AD28=0,J28,0)</f>
        <v>0</v>
      </c>
      <c r="AA28" s="30">
        <f>IF(AD28=15,J28,0)</f>
        <v>0</v>
      </c>
      <c r="AB28" s="30">
        <f>IF(AD28=21,J28,0)</f>
        <v>0</v>
      </c>
      <c r="AD28" s="30">
        <v>21</v>
      </c>
      <c r="AE28" s="30">
        <f>G28*0</f>
        <v>0</v>
      </c>
      <c r="AF28" s="30">
        <f>G28*(1-0)</f>
        <v>0</v>
      </c>
    </row>
    <row r="29" spans="1:32" ht="12.75">
      <c r="A29" s="10" t="s">
        <v>20</v>
      </c>
      <c r="B29" s="10" t="s">
        <v>258</v>
      </c>
      <c r="C29" s="10" t="s">
        <v>280</v>
      </c>
      <c r="D29" s="10" t="s">
        <v>440</v>
      </c>
      <c r="E29" s="10" t="s">
        <v>615</v>
      </c>
      <c r="F29" s="30">
        <v>1</v>
      </c>
      <c r="H29" s="30">
        <f>ROUND(F29*AE29,2)</f>
        <v>0</v>
      </c>
      <c r="I29" s="30">
        <f>J29-H29</f>
        <v>0</v>
      </c>
      <c r="J29" s="30">
        <f>ROUND(F29*G29,2)</f>
        <v>0</v>
      </c>
      <c r="K29" s="30">
        <v>0</v>
      </c>
      <c r="L29" s="30">
        <f>F29*K29</f>
        <v>0</v>
      </c>
      <c r="N29" s="50" t="s">
        <v>7</v>
      </c>
      <c r="O29" s="30">
        <f>IF(N29="5",I29,0)</f>
        <v>0</v>
      </c>
      <c r="Z29" s="30">
        <f>IF(AD29=0,J29,0)</f>
        <v>0</v>
      </c>
      <c r="AA29" s="30">
        <f>IF(AD29=15,J29,0)</f>
        <v>0</v>
      </c>
      <c r="AB29" s="30">
        <f>IF(AD29=21,J29,0)</f>
        <v>0</v>
      </c>
      <c r="AD29" s="30">
        <v>21</v>
      </c>
      <c r="AE29" s="30">
        <f>G29*0</f>
        <v>0</v>
      </c>
      <c r="AF29" s="30">
        <f>G29*(1-0)</f>
        <v>0</v>
      </c>
    </row>
    <row r="30" spans="1:32" ht="12.75">
      <c r="A30" s="10" t="s">
        <v>21</v>
      </c>
      <c r="B30" s="10" t="s">
        <v>258</v>
      </c>
      <c r="C30" s="10" t="s">
        <v>281</v>
      </c>
      <c r="D30" s="10" t="s">
        <v>441</v>
      </c>
      <c r="E30" s="10" t="s">
        <v>615</v>
      </c>
      <c r="F30" s="30">
        <v>0.63</v>
      </c>
      <c r="H30" s="30">
        <f>ROUND(F30*AE30,2)</f>
        <v>0</v>
      </c>
      <c r="I30" s="30">
        <f>J30-H30</f>
        <v>0</v>
      </c>
      <c r="J30" s="30">
        <f>ROUND(F30*G30,2)</f>
        <v>0</v>
      </c>
      <c r="K30" s="30">
        <v>0</v>
      </c>
      <c r="L30" s="30">
        <f>F30*K30</f>
        <v>0</v>
      </c>
      <c r="N30" s="50" t="s">
        <v>7</v>
      </c>
      <c r="O30" s="30">
        <f>IF(N30="5",I30,0)</f>
        <v>0</v>
      </c>
      <c r="Z30" s="30">
        <f>IF(AD30=0,J30,0)</f>
        <v>0</v>
      </c>
      <c r="AA30" s="30">
        <f>IF(AD30=15,J30,0)</f>
        <v>0</v>
      </c>
      <c r="AB30" s="30">
        <f>IF(AD30=21,J30,0)</f>
        <v>0</v>
      </c>
      <c r="AD30" s="30">
        <v>21</v>
      </c>
      <c r="AE30" s="30">
        <f>G30*0</f>
        <v>0</v>
      </c>
      <c r="AF30" s="30">
        <f>G30*(1-0)</f>
        <v>0</v>
      </c>
    </row>
    <row r="31" spans="1:37" ht="12.75">
      <c r="A31" s="9"/>
      <c r="B31" s="9"/>
      <c r="C31" s="20" t="s">
        <v>24</v>
      </c>
      <c r="D31" s="25" t="s">
        <v>442</v>
      </c>
      <c r="E31" s="28"/>
      <c r="F31" s="28"/>
      <c r="G31" s="28"/>
      <c r="H31" s="52">
        <f>SUM(H32:H37)</f>
        <v>0</v>
      </c>
      <c r="I31" s="52">
        <f>SUM(I32:I37)</f>
        <v>0</v>
      </c>
      <c r="J31" s="52">
        <f>H31+I31</f>
        <v>0</v>
      </c>
      <c r="K31" s="44"/>
      <c r="L31" s="52">
        <f>SUM(L32:L37)</f>
        <v>0</v>
      </c>
      <c r="P31" s="52">
        <f>IF(Q31="PR",J31,SUM(O32:O37))</f>
        <v>0</v>
      </c>
      <c r="Q31" s="44" t="s">
        <v>641</v>
      </c>
      <c r="R31" s="52">
        <f>IF(Q31="HS",H31,0)</f>
        <v>0</v>
      </c>
      <c r="S31" s="52">
        <f>IF(Q31="HS",I31-P31,0)</f>
        <v>0</v>
      </c>
      <c r="T31" s="52">
        <f>IF(Q31="PS",H31,0)</f>
        <v>0</v>
      </c>
      <c r="U31" s="52">
        <f>IF(Q31="PS",I31-P31,0)</f>
        <v>0</v>
      </c>
      <c r="V31" s="52">
        <f>IF(Q31="MP",H31,0)</f>
        <v>0</v>
      </c>
      <c r="W31" s="52">
        <f>IF(Q31="MP",I31-P31,0)</f>
        <v>0</v>
      </c>
      <c r="X31" s="52">
        <f>IF(Q31="OM",H31,0)</f>
        <v>0</v>
      </c>
      <c r="Y31" s="44" t="s">
        <v>258</v>
      </c>
      <c r="AI31" s="52">
        <f>SUM(Z32:Z37)</f>
        <v>0</v>
      </c>
      <c r="AJ31" s="52">
        <f>SUM(AA32:AA37)</f>
        <v>0</v>
      </c>
      <c r="AK31" s="52">
        <f>SUM(AB32:AB37)</f>
        <v>0</v>
      </c>
    </row>
    <row r="32" spans="1:32" ht="12.75">
      <c r="A32" s="10" t="s">
        <v>22</v>
      </c>
      <c r="B32" s="10" t="s">
        <v>258</v>
      </c>
      <c r="C32" s="10" t="s">
        <v>282</v>
      </c>
      <c r="D32" s="10" t="s">
        <v>443</v>
      </c>
      <c r="E32" s="10" t="s">
        <v>612</v>
      </c>
      <c r="F32" s="30">
        <v>294.5</v>
      </c>
      <c r="H32" s="30">
        <f aca="true" t="shared" si="8" ref="H32:H37">ROUND(F32*AE32,2)</f>
        <v>0</v>
      </c>
      <c r="I32" s="30">
        <f aca="true" t="shared" si="9" ref="I32:I37">J32-H32</f>
        <v>0</v>
      </c>
      <c r="J32" s="30">
        <f aca="true" t="shared" si="10" ref="J32:J37">ROUND(F32*G32,2)</f>
        <v>0</v>
      </c>
      <c r="K32" s="30">
        <v>0</v>
      </c>
      <c r="L32" s="30">
        <f aca="true" t="shared" si="11" ref="L32:L37">F32*K32</f>
        <v>0</v>
      </c>
      <c r="N32" s="50" t="s">
        <v>7</v>
      </c>
      <c r="O32" s="30">
        <f aca="true" t="shared" si="12" ref="O32:O37">IF(N32="5",I32,0)</f>
        <v>0</v>
      </c>
      <c r="Z32" s="30">
        <f aca="true" t="shared" si="13" ref="Z32:Z37">IF(AD32=0,J32,0)</f>
        <v>0</v>
      </c>
      <c r="AA32" s="30">
        <f aca="true" t="shared" si="14" ref="AA32:AA37">IF(AD32=15,J32,0)</f>
        <v>0</v>
      </c>
      <c r="AB32" s="30">
        <f aca="true" t="shared" si="15" ref="AB32:AB37">IF(AD32=21,J32,0)</f>
        <v>0</v>
      </c>
      <c r="AD32" s="30">
        <v>21</v>
      </c>
      <c r="AE32" s="30">
        <f aca="true" t="shared" si="16" ref="AE32:AE37">G32*0</f>
        <v>0</v>
      </c>
      <c r="AF32" s="30">
        <f aca="true" t="shared" si="17" ref="AF32:AF37">G32*(1-0)</f>
        <v>0</v>
      </c>
    </row>
    <row r="33" spans="1:32" ht="12.75">
      <c r="A33" s="10" t="s">
        <v>23</v>
      </c>
      <c r="B33" s="10" t="s">
        <v>258</v>
      </c>
      <c r="C33" s="10" t="s">
        <v>283</v>
      </c>
      <c r="D33" s="10" t="s">
        <v>444</v>
      </c>
      <c r="E33" s="10" t="s">
        <v>612</v>
      </c>
      <c r="F33" s="30">
        <v>75.7</v>
      </c>
      <c r="H33" s="30">
        <f t="shared" si="8"/>
        <v>0</v>
      </c>
      <c r="I33" s="30">
        <f t="shared" si="9"/>
        <v>0</v>
      </c>
      <c r="J33" s="30">
        <f t="shared" si="10"/>
        <v>0</v>
      </c>
      <c r="K33" s="30">
        <v>0</v>
      </c>
      <c r="L33" s="30">
        <f t="shared" si="11"/>
        <v>0</v>
      </c>
      <c r="N33" s="50" t="s">
        <v>7</v>
      </c>
      <c r="O33" s="30">
        <f t="shared" si="12"/>
        <v>0</v>
      </c>
      <c r="Z33" s="30">
        <f t="shared" si="13"/>
        <v>0</v>
      </c>
      <c r="AA33" s="30">
        <f t="shared" si="14"/>
        <v>0</v>
      </c>
      <c r="AB33" s="30">
        <f t="shared" si="15"/>
        <v>0</v>
      </c>
      <c r="AD33" s="30">
        <v>21</v>
      </c>
      <c r="AE33" s="30">
        <f t="shared" si="16"/>
        <v>0</v>
      </c>
      <c r="AF33" s="30">
        <f t="shared" si="17"/>
        <v>0</v>
      </c>
    </row>
    <row r="34" spans="1:32" ht="12.75">
      <c r="A34" s="10" t="s">
        <v>24</v>
      </c>
      <c r="B34" s="10" t="s">
        <v>258</v>
      </c>
      <c r="C34" s="10" t="s">
        <v>284</v>
      </c>
      <c r="D34" s="10" t="s">
        <v>445</v>
      </c>
      <c r="E34" s="10" t="s">
        <v>612</v>
      </c>
      <c r="F34" s="30">
        <v>442.78</v>
      </c>
      <c r="H34" s="30">
        <f t="shared" si="8"/>
        <v>0</v>
      </c>
      <c r="I34" s="30">
        <f t="shared" si="9"/>
        <v>0</v>
      </c>
      <c r="J34" s="30">
        <f t="shared" si="10"/>
        <v>0</v>
      </c>
      <c r="K34" s="30">
        <v>0</v>
      </c>
      <c r="L34" s="30">
        <f t="shared" si="11"/>
        <v>0</v>
      </c>
      <c r="N34" s="50" t="s">
        <v>7</v>
      </c>
      <c r="O34" s="30">
        <f t="shared" si="12"/>
        <v>0</v>
      </c>
      <c r="Z34" s="30">
        <f t="shared" si="13"/>
        <v>0</v>
      </c>
      <c r="AA34" s="30">
        <f t="shared" si="14"/>
        <v>0</v>
      </c>
      <c r="AB34" s="30">
        <f t="shared" si="15"/>
        <v>0</v>
      </c>
      <c r="AD34" s="30">
        <v>21</v>
      </c>
      <c r="AE34" s="30">
        <f t="shared" si="16"/>
        <v>0</v>
      </c>
      <c r="AF34" s="30">
        <f t="shared" si="17"/>
        <v>0</v>
      </c>
    </row>
    <row r="35" spans="1:32" ht="12.75">
      <c r="A35" s="10" t="s">
        <v>25</v>
      </c>
      <c r="B35" s="10" t="s">
        <v>258</v>
      </c>
      <c r="C35" s="10" t="s">
        <v>285</v>
      </c>
      <c r="D35" s="10" t="s">
        <v>446</v>
      </c>
      <c r="E35" s="10" t="s">
        <v>615</v>
      </c>
      <c r="F35" s="30">
        <v>103.96</v>
      </c>
      <c r="H35" s="30">
        <f t="shared" si="8"/>
        <v>0</v>
      </c>
      <c r="I35" s="30">
        <f t="shared" si="9"/>
        <v>0</v>
      </c>
      <c r="J35" s="30">
        <f t="shared" si="10"/>
        <v>0</v>
      </c>
      <c r="K35" s="30">
        <v>0</v>
      </c>
      <c r="L35" s="30">
        <f t="shared" si="11"/>
        <v>0</v>
      </c>
      <c r="N35" s="50" t="s">
        <v>8</v>
      </c>
      <c r="O35" s="30">
        <f t="shared" si="12"/>
        <v>0</v>
      </c>
      <c r="Z35" s="30">
        <f t="shared" si="13"/>
        <v>0</v>
      </c>
      <c r="AA35" s="30">
        <f t="shared" si="14"/>
        <v>0</v>
      </c>
      <c r="AB35" s="30">
        <f t="shared" si="15"/>
        <v>0</v>
      </c>
      <c r="AD35" s="30">
        <v>21</v>
      </c>
      <c r="AE35" s="30">
        <f t="shared" si="16"/>
        <v>0</v>
      </c>
      <c r="AF35" s="30">
        <f t="shared" si="17"/>
        <v>0</v>
      </c>
    </row>
    <row r="36" spans="1:32" ht="12.75">
      <c r="A36" s="10" t="s">
        <v>26</v>
      </c>
      <c r="B36" s="10" t="s">
        <v>258</v>
      </c>
      <c r="C36" s="10" t="s">
        <v>286</v>
      </c>
      <c r="D36" s="10" t="s">
        <v>447</v>
      </c>
      <c r="E36" s="10" t="s">
        <v>615</v>
      </c>
      <c r="F36" s="30">
        <v>99.09</v>
      </c>
      <c r="H36" s="30">
        <f t="shared" si="8"/>
        <v>0</v>
      </c>
      <c r="I36" s="30">
        <f t="shared" si="9"/>
        <v>0</v>
      </c>
      <c r="J36" s="30">
        <f t="shared" si="10"/>
        <v>0</v>
      </c>
      <c r="K36" s="30">
        <v>0</v>
      </c>
      <c r="L36" s="30">
        <f t="shared" si="11"/>
        <v>0</v>
      </c>
      <c r="N36" s="50" t="s">
        <v>8</v>
      </c>
      <c r="O36" s="30">
        <f t="shared" si="12"/>
        <v>0</v>
      </c>
      <c r="Z36" s="30">
        <f t="shared" si="13"/>
        <v>0</v>
      </c>
      <c r="AA36" s="30">
        <f t="shared" si="14"/>
        <v>0</v>
      </c>
      <c r="AB36" s="30">
        <f t="shared" si="15"/>
        <v>0</v>
      </c>
      <c r="AD36" s="30">
        <v>21</v>
      </c>
      <c r="AE36" s="30">
        <f t="shared" si="16"/>
        <v>0</v>
      </c>
      <c r="AF36" s="30">
        <f t="shared" si="17"/>
        <v>0</v>
      </c>
    </row>
    <row r="37" spans="1:32" ht="12.75">
      <c r="A37" s="10" t="s">
        <v>27</v>
      </c>
      <c r="B37" s="10" t="s">
        <v>258</v>
      </c>
      <c r="C37" s="10" t="s">
        <v>287</v>
      </c>
      <c r="D37" s="10" t="s">
        <v>448</v>
      </c>
      <c r="E37" s="10" t="s">
        <v>612</v>
      </c>
      <c r="F37" s="30">
        <v>27.89</v>
      </c>
      <c r="H37" s="30">
        <f t="shared" si="8"/>
        <v>0</v>
      </c>
      <c r="I37" s="30">
        <f t="shared" si="9"/>
        <v>0</v>
      </c>
      <c r="J37" s="30">
        <f t="shared" si="10"/>
        <v>0</v>
      </c>
      <c r="K37" s="30">
        <v>0</v>
      </c>
      <c r="L37" s="30">
        <f t="shared" si="11"/>
        <v>0</v>
      </c>
      <c r="N37" s="50" t="s">
        <v>7</v>
      </c>
      <c r="O37" s="30">
        <f t="shared" si="12"/>
        <v>0</v>
      </c>
      <c r="Z37" s="30">
        <f t="shared" si="13"/>
        <v>0</v>
      </c>
      <c r="AA37" s="30">
        <f t="shared" si="14"/>
        <v>0</v>
      </c>
      <c r="AB37" s="30">
        <f t="shared" si="15"/>
        <v>0</v>
      </c>
      <c r="AD37" s="30">
        <v>21</v>
      </c>
      <c r="AE37" s="30">
        <f t="shared" si="16"/>
        <v>0</v>
      </c>
      <c r="AF37" s="30">
        <f t="shared" si="17"/>
        <v>0</v>
      </c>
    </row>
    <row r="38" spans="1:37" ht="12.75">
      <c r="A38" s="9"/>
      <c r="B38" s="9"/>
      <c r="C38" s="20" t="s">
        <v>27</v>
      </c>
      <c r="D38" s="25" t="s">
        <v>449</v>
      </c>
      <c r="E38" s="28"/>
      <c r="F38" s="28"/>
      <c r="G38" s="28"/>
      <c r="H38" s="52">
        <f>SUM(H39:H41)</f>
        <v>0</v>
      </c>
      <c r="I38" s="52">
        <f>SUM(I39:I41)</f>
        <v>0</v>
      </c>
      <c r="J38" s="52">
        <f>H38+I38</f>
        <v>0</v>
      </c>
      <c r="K38" s="44"/>
      <c r="L38" s="52">
        <f>SUM(L39:L41)</f>
        <v>38.0453083</v>
      </c>
      <c r="P38" s="52">
        <f>IF(Q38="PR",J38,SUM(O39:O41))</f>
        <v>0</v>
      </c>
      <c r="Q38" s="44" t="s">
        <v>641</v>
      </c>
      <c r="R38" s="52">
        <f>IF(Q38="HS",H38,0)</f>
        <v>0</v>
      </c>
      <c r="S38" s="52">
        <f>IF(Q38="HS",I38-P38,0)</f>
        <v>0</v>
      </c>
      <c r="T38" s="52">
        <f>IF(Q38="PS",H38,0)</f>
        <v>0</v>
      </c>
      <c r="U38" s="52">
        <f>IF(Q38="PS",I38-P38,0)</f>
        <v>0</v>
      </c>
      <c r="V38" s="52">
        <f>IF(Q38="MP",H38,0)</f>
        <v>0</v>
      </c>
      <c r="W38" s="52">
        <f>IF(Q38="MP",I38-P38,0)</f>
        <v>0</v>
      </c>
      <c r="X38" s="52">
        <f>IF(Q38="OM",H38,0)</f>
        <v>0</v>
      </c>
      <c r="Y38" s="44" t="s">
        <v>258</v>
      </c>
      <c r="AI38" s="52">
        <f>SUM(Z39:Z41)</f>
        <v>0</v>
      </c>
      <c r="AJ38" s="52">
        <f>SUM(AA39:AA41)</f>
        <v>0</v>
      </c>
      <c r="AK38" s="52">
        <f>SUM(AB39:AB41)</f>
        <v>0</v>
      </c>
    </row>
    <row r="39" spans="1:32" ht="12.75">
      <c r="A39" s="10" t="s">
        <v>28</v>
      </c>
      <c r="B39" s="10" t="s">
        <v>258</v>
      </c>
      <c r="C39" s="10" t="s">
        <v>288</v>
      </c>
      <c r="D39" s="10" t="s">
        <v>450</v>
      </c>
      <c r="E39" s="10" t="s">
        <v>613</v>
      </c>
      <c r="F39" s="30">
        <v>2</v>
      </c>
      <c r="H39" s="30">
        <f>ROUND(F39*AE39,2)</f>
        <v>0</v>
      </c>
      <c r="I39" s="30">
        <f>J39-H39</f>
        <v>0</v>
      </c>
      <c r="J39" s="30">
        <f>ROUND(F39*G39,2)</f>
        <v>0</v>
      </c>
      <c r="K39" s="30">
        <v>0.00918</v>
      </c>
      <c r="L39" s="30">
        <f>F39*K39</f>
        <v>0.01836</v>
      </c>
      <c r="N39" s="50" t="s">
        <v>7</v>
      </c>
      <c r="O39" s="30">
        <f>IF(N39="5",I39,0)</f>
        <v>0</v>
      </c>
      <c r="Z39" s="30">
        <f>IF(AD39=0,J39,0)</f>
        <v>0</v>
      </c>
      <c r="AA39" s="30">
        <f>IF(AD39=15,J39,0)</f>
        <v>0</v>
      </c>
      <c r="AB39" s="30">
        <f>IF(AD39=21,J39,0)</f>
        <v>0</v>
      </c>
      <c r="AD39" s="30">
        <v>21</v>
      </c>
      <c r="AE39" s="30">
        <f>G39*0.759862035047757</f>
        <v>0</v>
      </c>
      <c r="AF39" s="30">
        <f>G39*(1-0.759862035047757)</f>
        <v>0</v>
      </c>
    </row>
    <row r="40" spans="1:32" ht="12.75">
      <c r="A40" s="10" t="s">
        <v>29</v>
      </c>
      <c r="B40" s="10" t="s">
        <v>258</v>
      </c>
      <c r="C40" s="10" t="s">
        <v>289</v>
      </c>
      <c r="D40" s="10" t="s">
        <v>451</v>
      </c>
      <c r="E40" s="10" t="s">
        <v>615</v>
      </c>
      <c r="F40" s="30">
        <v>12.85</v>
      </c>
      <c r="H40" s="30">
        <f>ROUND(F40*AE40,2)</f>
        <v>0</v>
      </c>
      <c r="I40" s="30">
        <f>J40-H40</f>
        <v>0</v>
      </c>
      <c r="J40" s="30">
        <f>ROUND(F40*G40,2)</f>
        <v>0</v>
      </c>
      <c r="K40" s="30">
        <v>0</v>
      </c>
      <c r="L40" s="30">
        <f>F40*K40</f>
        <v>0</v>
      </c>
      <c r="N40" s="50" t="s">
        <v>7</v>
      </c>
      <c r="O40" s="30">
        <f>IF(N40="5",I40,0)</f>
        <v>0</v>
      </c>
      <c r="Z40" s="30">
        <f>IF(AD40=0,J40,0)</f>
        <v>0</v>
      </c>
      <c r="AA40" s="30">
        <f>IF(AD40=15,J40,0)</f>
        <v>0</v>
      </c>
      <c r="AB40" s="30">
        <f>IF(AD40=21,J40,0)</f>
        <v>0</v>
      </c>
      <c r="AD40" s="30">
        <v>21</v>
      </c>
      <c r="AE40" s="30">
        <f>G40*0</f>
        <v>0</v>
      </c>
      <c r="AF40" s="30">
        <f>G40*(1-0)</f>
        <v>0</v>
      </c>
    </row>
    <row r="41" spans="1:32" ht="12.75">
      <c r="A41" s="10" t="s">
        <v>30</v>
      </c>
      <c r="B41" s="10" t="s">
        <v>258</v>
      </c>
      <c r="C41" s="10" t="s">
        <v>290</v>
      </c>
      <c r="D41" s="10" t="s">
        <v>452</v>
      </c>
      <c r="E41" s="10" t="s">
        <v>616</v>
      </c>
      <c r="F41" s="30">
        <v>88.33</v>
      </c>
      <c r="H41" s="30">
        <f>ROUND(F41*AE41,2)</f>
        <v>0</v>
      </c>
      <c r="I41" s="30">
        <f>J41-H41</f>
        <v>0</v>
      </c>
      <c r="J41" s="30">
        <f>ROUND(F41*G41,2)</f>
        <v>0</v>
      </c>
      <c r="K41" s="30">
        <v>0.43051</v>
      </c>
      <c r="L41" s="30">
        <f>F41*K41</f>
        <v>38.0269483</v>
      </c>
      <c r="N41" s="50" t="s">
        <v>9</v>
      </c>
      <c r="O41" s="30">
        <f>IF(N41="5",I41,0)</f>
        <v>0</v>
      </c>
      <c r="Z41" s="30">
        <f>IF(AD41=0,J41,0)</f>
        <v>0</v>
      </c>
      <c r="AA41" s="30">
        <f>IF(AD41=15,J41,0)</f>
        <v>0</v>
      </c>
      <c r="AB41" s="30">
        <f>IF(AD41=21,J41,0)</f>
        <v>0</v>
      </c>
      <c r="AD41" s="30">
        <v>21</v>
      </c>
      <c r="AE41" s="30">
        <f>G41*0.405979038332409</f>
        <v>0</v>
      </c>
      <c r="AF41" s="30">
        <f>G41*(1-0.405979038332409)</f>
        <v>0</v>
      </c>
    </row>
    <row r="42" spans="1:37" ht="12.75">
      <c r="A42" s="9"/>
      <c r="B42" s="9"/>
      <c r="C42" s="20" t="s">
        <v>44</v>
      </c>
      <c r="D42" s="25" t="s">
        <v>453</v>
      </c>
      <c r="E42" s="28"/>
      <c r="F42" s="28"/>
      <c r="G42" s="28"/>
      <c r="H42" s="52">
        <f>SUM(H43:H49)</f>
        <v>0</v>
      </c>
      <c r="I42" s="52">
        <f>SUM(I43:I49)</f>
        <v>0</v>
      </c>
      <c r="J42" s="52">
        <f>H42+I42</f>
        <v>0</v>
      </c>
      <c r="K42" s="44"/>
      <c r="L42" s="52">
        <f>SUM(L43:L49)</f>
        <v>206.3797679</v>
      </c>
      <c r="P42" s="52">
        <f>IF(Q42="PR",J42,SUM(O43:O49))</f>
        <v>0</v>
      </c>
      <c r="Q42" s="44" t="s">
        <v>641</v>
      </c>
      <c r="R42" s="52">
        <f>IF(Q42="HS",H42,0)</f>
        <v>0</v>
      </c>
      <c r="S42" s="52">
        <f>IF(Q42="HS",I42-P42,0)</f>
        <v>0</v>
      </c>
      <c r="T42" s="52">
        <f>IF(Q42="PS",H42,0)</f>
        <v>0</v>
      </c>
      <c r="U42" s="52">
        <f>IF(Q42="PS",I42-P42,0)</f>
        <v>0</v>
      </c>
      <c r="V42" s="52">
        <f>IF(Q42="MP",H42,0)</f>
        <v>0</v>
      </c>
      <c r="W42" s="52">
        <f>IF(Q42="MP",I42-P42,0)</f>
        <v>0</v>
      </c>
      <c r="X42" s="52">
        <f>IF(Q42="OM",H42,0)</f>
        <v>0</v>
      </c>
      <c r="Y42" s="44" t="s">
        <v>258</v>
      </c>
      <c r="AI42" s="52">
        <f>SUM(Z43:Z49)</f>
        <v>0</v>
      </c>
      <c r="AJ42" s="52">
        <f>SUM(AA43:AA49)</f>
        <v>0</v>
      </c>
      <c r="AK42" s="52">
        <f>SUM(AB43:AB49)</f>
        <v>0</v>
      </c>
    </row>
    <row r="43" spans="1:32" ht="12.75">
      <c r="A43" s="10" t="s">
        <v>31</v>
      </c>
      <c r="B43" s="10" t="s">
        <v>258</v>
      </c>
      <c r="C43" s="10" t="s">
        <v>291</v>
      </c>
      <c r="D43" s="10" t="s">
        <v>454</v>
      </c>
      <c r="E43" s="10" t="s">
        <v>617</v>
      </c>
      <c r="F43" s="30">
        <v>4</v>
      </c>
      <c r="H43" s="30">
        <f aca="true" t="shared" si="18" ref="H43:H49">ROUND(F43*AE43,2)</f>
        <v>0</v>
      </c>
      <c r="I43" s="30">
        <f aca="true" t="shared" si="19" ref="I43:I49">J43-H43</f>
        <v>0</v>
      </c>
      <c r="J43" s="30">
        <f aca="true" t="shared" si="20" ref="J43:J49">ROUND(F43*G43,2)</f>
        <v>0</v>
      </c>
      <c r="K43" s="30">
        <v>0.007</v>
      </c>
      <c r="L43" s="30">
        <f aca="true" t="shared" si="21" ref="L43:L49">F43*K43</f>
        <v>0.028</v>
      </c>
      <c r="N43" s="50" t="s">
        <v>266</v>
      </c>
      <c r="O43" s="30">
        <f aca="true" t="shared" si="22" ref="O43:O49">IF(N43="5",I43,0)</f>
        <v>0</v>
      </c>
      <c r="Z43" s="30">
        <f aca="true" t="shared" si="23" ref="Z43:Z49">IF(AD43=0,J43,0)</f>
        <v>0</v>
      </c>
      <c r="AA43" s="30">
        <f aca="true" t="shared" si="24" ref="AA43:AA49">IF(AD43=15,J43,0)</f>
        <v>0</v>
      </c>
      <c r="AB43" s="30">
        <f aca="true" t="shared" si="25" ref="AB43:AB49">IF(AD43=21,J43,0)</f>
        <v>0</v>
      </c>
      <c r="AD43" s="30">
        <v>21</v>
      </c>
      <c r="AE43" s="30">
        <f>G43*1</f>
        <v>0</v>
      </c>
      <c r="AF43" s="30">
        <f>G43*(1-1)</f>
        <v>0</v>
      </c>
    </row>
    <row r="44" spans="1:32" ht="12.75">
      <c r="A44" s="10" t="s">
        <v>32</v>
      </c>
      <c r="B44" s="10" t="s">
        <v>258</v>
      </c>
      <c r="C44" s="10" t="s">
        <v>292</v>
      </c>
      <c r="D44" s="10" t="s">
        <v>455</v>
      </c>
      <c r="E44" s="10" t="s">
        <v>618</v>
      </c>
      <c r="F44" s="30">
        <v>2</v>
      </c>
      <c r="H44" s="30">
        <f t="shared" si="18"/>
        <v>0</v>
      </c>
      <c r="I44" s="30">
        <f t="shared" si="19"/>
        <v>0</v>
      </c>
      <c r="J44" s="30">
        <f t="shared" si="20"/>
        <v>0</v>
      </c>
      <c r="K44" s="30">
        <v>0.1</v>
      </c>
      <c r="L44" s="30">
        <f t="shared" si="21"/>
        <v>0.2</v>
      </c>
      <c r="N44" s="50" t="s">
        <v>266</v>
      </c>
      <c r="O44" s="30">
        <f t="shared" si="22"/>
        <v>0</v>
      </c>
      <c r="Z44" s="30">
        <f t="shared" si="23"/>
        <v>0</v>
      </c>
      <c r="AA44" s="30">
        <f t="shared" si="24"/>
        <v>0</v>
      </c>
      <c r="AB44" s="30">
        <f t="shared" si="25"/>
        <v>0</v>
      </c>
      <c r="AD44" s="30">
        <v>21</v>
      </c>
      <c r="AE44" s="30">
        <f>G44*1</f>
        <v>0</v>
      </c>
      <c r="AF44" s="30">
        <f>G44*(1-1)</f>
        <v>0</v>
      </c>
    </row>
    <row r="45" spans="1:32" ht="12.75">
      <c r="A45" s="10" t="s">
        <v>33</v>
      </c>
      <c r="B45" s="10" t="s">
        <v>258</v>
      </c>
      <c r="C45" s="10" t="s">
        <v>293</v>
      </c>
      <c r="D45" s="10" t="s">
        <v>456</v>
      </c>
      <c r="E45" s="10" t="s">
        <v>618</v>
      </c>
      <c r="F45" s="30">
        <v>2</v>
      </c>
      <c r="H45" s="30">
        <f t="shared" si="18"/>
        <v>0</v>
      </c>
      <c r="I45" s="30">
        <f t="shared" si="19"/>
        <v>0</v>
      </c>
      <c r="J45" s="30">
        <f t="shared" si="20"/>
        <v>0</v>
      </c>
      <c r="K45" s="30">
        <v>0.1</v>
      </c>
      <c r="L45" s="30">
        <f t="shared" si="21"/>
        <v>0.2</v>
      </c>
      <c r="N45" s="50" t="s">
        <v>266</v>
      </c>
      <c r="O45" s="30">
        <f t="shared" si="22"/>
        <v>0</v>
      </c>
      <c r="Z45" s="30">
        <f t="shared" si="23"/>
        <v>0</v>
      </c>
      <c r="AA45" s="30">
        <f t="shared" si="24"/>
        <v>0</v>
      </c>
      <c r="AB45" s="30">
        <f t="shared" si="25"/>
        <v>0</v>
      </c>
      <c r="AD45" s="30">
        <v>21</v>
      </c>
      <c r="AE45" s="30">
        <f>G45*1</f>
        <v>0</v>
      </c>
      <c r="AF45" s="30">
        <f>G45*(1-1)</f>
        <v>0</v>
      </c>
    </row>
    <row r="46" spans="1:32" ht="12.75">
      <c r="A46" s="10" t="s">
        <v>34</v>
      </c>
      <c r="B46" s="10" t="s">
        <v>258</v>
      </c>
      <c r="C46" s="10" t="s">
        <v>294</v>
      </c>
      <c r="D46" s="10" t="s">
        <v>457</v>
      </c>
      <c r="E46" s="10" t="s">
        <v>618</v>
      </c>
      <c r="F46" s="30">
        <v>76.03</v>
      </c>
      <c r="H46" s="30">
        <f t="shared" si="18"/>
        <v>0</v>
      </c>
      <c r="I46" s="30">
        <f t="shared" si="19"/>
        <v>0</v>
      </c>
      <c r="J46" s="30">
        <f t="shared" si="20"/>
        <v>0</v>
      </c>
      <c r="K46" s="30">
        <v>0.11</v>
      </c>
      <c r="L46" s="30">
        <f t="shared" si="21"/>
        <v>8.3633</v>
      </c>
      <c r="N46" s="50" t="s">
        <v>266</v>
      </c>
      <c r="O46" s="30">
        <f t="shared" si="22"/>
        <v>0</v>
      </c>
      <c r="Z46" s="30">
        <f t="shared" si="23"/>
        <v>0</v>
      </c>
      <c r="AA46" s="30">
        <f t="shared" si="24"/>
        <v>0</v>
      </c>
      <c r="AB46" s="30">
        <f t="shared" si="25"/>
        <v>0</v>
      </c>
      <c r="AD46" s="30">
        <v>21</v>
      </c>
      <c r="AE46" s="30">
        <f>G46*1</f>
        <v>0</v>
      </c>
      <c r="AF46" s="30">
        <f>G46*(1-1)</f>
        <v>0</v>
      </c>
    </row>
    <row r="47" spans="1:32" ht="12.75">
      <c r="A47" s="10" t="s">
        <v>35</v>
      </c>
      <c r="B47" s="10" t="s">
        <v>258</v>
      </c>
      <c r="C47" s="10" t="s">
        <v>295</v>
      </c>
      <c r="D47" s="10" t="s">
        <v>458</v>
      </c>
      <c r="E47" s="10" t="s">
        <v>615</v>
      </c>
      <c r="F47" s="30">
        <v>80.03</v>
      </c>
      <c r="H47" s="30">
        <f t="shared" si="18"/>
        <v>0</v>
      </c>
      <c r="I47" s="30">
        <f t="shared" si="19"/>
        <v>0</v>
      </c>
      <c r="J47" s="30">
        <f t="shared" si="20"/>
        <v>0</v>
      </c>
      <c r="K47" s="30">
        <v>2.46893</v>
      </c>
      <c r="L47" s="30">
        <f t="shared" si="21"/>
        <v>197.58846789999998</v>
      </c>
      <c r="N47" s="50" t="s">
        <v>7</v>
      </c>
      <c r="O47" s="30">
        <f t="shared" si="22"/>
        <v>0</v>
      </c>
      <c r="Z47" s="30">
        <f t="shared" si="23"/>
        <v>0</v>
      </c>
      <c r="AA47" s="30">
        <f t="shared" si="24"/>
        <v>0</v>
      </c>
      <c r="AB47" s="30">
        <f t="shared" si="25"/>
        <v>0</v>
      </c>
      <c r="AD47" s="30">
        <v>21</v>
      </c>
      <c r="AE47" s="30">
        <f>G47*0.6726866188967</f>
        <v>0</v>
      </c>
      <c r="AF47" s="30">
        <f>G47*(1-0.6726866188967)</f>
        <v>0</v>
      </c>
    </row>
    <row r="48" spans="1:32" ht="12.75">
      <c r="A48" s="10" t="s">
        <v>36</v>
      </c>
      <c r="B48" s="10" t="s">
        <v>258</v>
      </c>
      <c r="C48" s="10" t="s">
        <v>296</v>
      </c>
      <c r="D48" s="10" t="s">
        <v>459</v>
      </c>
      <c r="E48" s="10" t="s">
        <v>614</v>
      </c>
      <c r="F48" s="30">
        <v>206.38</v>
      </c>
      <c r="H48" s="30">
        <f t="shared" si="18"/>
        <v>0</v>
      </c>
      <c r="I48" s="30">
        <f t="shared" si="19"/>
        <v>0</v>
      </c>
      <c r="J48" s="30">
        <f t="shared" si="20"/>
        <v>0</v>
      </c>
      <c r="K48" s="30">
        <v>0</v>
      </c>
      <c r="L48" s="30">
        <f t="shared" si="21"/>
        <v>0</v>
      </c>
      <c r="N48" s="50" t="s">
        <v>11</v>
      </c>
      <c r="O48" s="30">
        <f t="shared" si="22"/>
        <v>0</v>
      </c>
      <c r="Z48" s="30">
        <f t="shared" si="23"/>
        <v>0</v>
      </c>
      <c r="AA48" s="30">
        <f t="shared" si="24"/>
        <v>0</v>
      </c>
      <c r="AB48" s="30">
        <f t="shared" si="25"/>
        <v>0</v>
      </c>
      <c r="AD48" s="30">
        <v>21</v>
      </c>
      <c r="AE48" s="30">
        <f>G48*0</f>
        <v>0</v>
      </c>
      <c r="AF48" s="30">
        <f>G48*(1-0)</f>
        <v>0</v>
      </c>
    </row>
    <row r="49" spans="1:32" ht="12.75">
      <c r="A49" s="10" t="s">
        <v>37</v>
      </c>
      <c r="B49" s="10" t="s">
        <v>258</v>
      </c>
      <c r="C49" s="10" t="s">
        <v>297</v>
      </c>
      <c r="D49" s="10" t="s">
        <v>460</v>
      </c>
      <c r="E49" s="10" t="s">
        <v>614</v>
      </c>
      <c r="F49" s="30">
        <v>206.37977</v>
      </c>
      <c r="H49" s="30">
        <f t="shared" si="18"/>
        <v>0</v>
      </c>
      <c r="I49" s="30">
        <f t="shared" si="19"/>
        <v>0</v>
      </c>
      <c r="J49" s="30">
        <f t="shared" si="20"/>
        <v>0</v>
      </c>
      <c r="K49" s="30">
        <v>0</v>
      </c>
      <c r="L49" s="30">
        <f t="shared" si="21"/>
        <v>0</v>
      </c>
      <c r="N49" s="50" t="s">
        <v>11</v>
      </c>
      <c r="O49" s="30">
        <f t="shared" si="22"/>
        <v>0</v>
      </c>
      <c r="Z49" s="30">
        <f t="shared" si="23"/>
        <v>0</v>
      </c>
      <c r="AA49" s="30">
        <f t="shared" si="24"/>
        <v>0</v>
      </c>
      <c r="AB49" s="30">
        <f t="shared" si="25"/>
        <v>0</v>
      </c>
      <c r="AD49" s="30">
        <v>21</v>
      </c>
      <c r="AE49" s="30">
        <f>G49*0</f>
        <v>0</v>
      </c>
      <c r="AF49" s="30">
        <f>G49*(1-0)</f>
        <v>0</v>
      </c>
    </row>
    <row r="50" spans="1:37" ht="12.75">
      <c r="A50" s="9"/>
      <c r="B50" s="9"/>
      <c r="C50" s="20" t="s">
        <v>63</v>
      </c>
      <c r="D50" s="25" t="s">
        <v>461</v>
      </c>
      <c r="E50" s="28"/>
      <c r="F50" s="28"/>
      <c r="G50" s="28"/>
      <c r="H50" s="52">
        <f>SUM(H51:H54)</f>
        <v>0</v>
      </c>
      <c r="I50" s="52">
        <f>SUM(I51:I54)</f>
        <v>0</v>
      </c>
      <c r="J50" s="52">
        <f>H50+I50</f>
        <v>0</v>
      </c>
      <c r="K50" s="44"/>
      <c r="L50" s="52">
        <f>SUM(L51:L54)</f>
        <v>8.313799200000002</v>
      </c>
      <c r="P50" s="52">
        <f>IF(Q50="PR",J50,SUM(O51:O54))</f>
        <v>0</v>
      </c>
      <c r="Q50" s="44" t="s">
        <v>641</v>
      </c>
      <c r="R50" s="52">
        <f>IF(Q50="HS",H50,0)</f>
        <v>0</v>
      </c>
      <c r="S50" s="52">
        <f>IF(Q50="HS",I50-P50,0)</f>
        <v>0</v>
      </c>
      <c r="T50" s="52">
        <f>IF(Q50="PS",H50,0)</f>
        <v>0</v>
      </c>
      <c r="U50" s="52">
        <f>IF(Q50="PS",I50-P50,0)</f>
        <v>0</v>
      </c>
      <c r="V50" s="52">
        <f>IF(Q50="MP",H50,0)</f>
        <v>0</v>
      </c>
      <c r="W50" s="52">
        <f>IF(Q50="MP",I50-P50,0)</f>
        <v>0</v>
      </c>
      <c r="X50" s="52">
        <f>IF(Q50="OM",H50,0)</f>
        <v>0</v>
      </c>
      <c r="Y50" s="44" t="s">
        <v>258</v>
      </c>
      <c r="AI50" s="52">
        <f>SUM(Z51:Z54)</f>
        <v>0</v>
      </c>
      <c r="AJ50" s="52">
        <f>SUM(AA51:AA54)</f>
        <v>0</v>
      </c>
      <c r="AK50" s="52">
        <f>SUM(AB51:AB54)</f>
        <v>0</v>
      </c>
    </row>
    <row r="51" spans="1:32" ht="12.75">
      <c r="A51" s="10" t="s">
        <v>38</v>
      </c>
      <c r="B51" s="10" t="s">
        <v>258</v>
      </c>
      <c r="C51" s="10" t="s">
        <v>298</v>
      </c>
      <c r="D51" s="10" t="s">
        <v>462</v>
      </c>
      <c r="E51" s="10" t="s">
        <v>612</v>
      </c>
      <c r="F51" s="30">
        <v>32.06</v>
      </c>
      <c r="H51" s="30">
        <f>ROUND(F51*AE51,2)</f>
        <v>0</v>
      </c>
      <c r="I51" s="30">
        <f>J51-H51</f>
        <v>0</v>
      </c>
      <c r="J51" s="30">
        <f>ROUND(F51*G51,2)</f>
        <v>0</v>
      </c>
      <c r="K51" s="30">
        <v>0.15559</v>
      </c>
      <c r="L51" s="30">
        <f>F51*K51</f>
        <v>4.9882154000000005</v>
      </c>
      <c r="N51" s="50" t="s">
        <v>7</v>
      </c>
      <c r="O51" s="30">
        <f>IF(N51="5",I51,0)</f>
        <v>0</v>
      </c>
      <c r="Z51" s="30">
        <f>IF(AD51=0,J51,0)</f>
        <v>0</v>
      </c>
      <c r="AA51" s="30">
        <f>IF(AD51=15,J51,0)</f>
        <v>0</v>
      </c>
      <c r="AB51" s="30">
        <f>IF(AD51=21,J51,0)</f>
        <v>0</v>
      </c>
      <c r="AD51" s="30">
        <v>21</v>
      </c>
      <c r="AE51" s="30">
        <f>G51*0.908105987445678</f>
        <v>0</v>
      </c>
      <c r="AF51" s="30">
        <f>G51*(1-0.908105987445678)</f>
        <v>0</v>
      </c>
    </row>
    <row r="52" spans="1:32" ht="12.75">
      <c r="A52" s="10" t="s">
        <v>39</v>
      </c>
      <c r="B52" s="10" t="s">
        <v>258</v>
      </c>
      <c r="C52" s="10" t="s">
        <v>299</v>
      </c>
      <c r="D52" s="10" t="s">
        <v>463</v>
      </c>
      <c r="E52" s="10" t="s">
        <v>612</v>
      </c>
      <c r="F52" s="30">
        <v>32.06</v>
      </c>
      <c r="H52" s="30">
        <f>ROUND(F52*AE52,2)</f>
        <v>0</v>
      </c>
      <c r="I52" s="30">
        <f>J52-H52</f>
        <v>0</v>
      </c>
      <c r="J52" s="30">
        <f>ROUND(F52*G52,2)</f>
        <v>0</v>
      </c>
      <c r="K52" s="30">
        <v>0.10373</v>
      </c>
      <c r="L52" s="30">
        <f>F52*K52</f>
        <v>3.3255838000000004</v>
      </c>
      <c r="N52" s="50" t="s">
        <v>7</v>
      </c>
      <c r="O52" s="30">
        <f>IF(N52="5",I52,0)</f>
        <v>0</v>
      </c>
      <c r="Z52" s="30">
        <f>IF(AD52=0,J52,0)</f>
        <v>0</v>
      </c>
      <c r="AA52" s="30">
        <f>IF(AD52=15,J52,0)</f>
        <v>0</v>
      </c>
      <c r="AB52" s="30">
        <f>IF(AD52=21,J52,0)</f>
        <v>0</v>
      </c>
      <c r="AD52" s="30">
        <v>21</v>
      </c>
      <c r="AE52" s="30">
        <f>G52*0.850078393152252</f>
        <v>0</v>
      </c>
      <c r="AF52" s="30">
        <f>G52*(1-0.850078393152252)</f>
        <v>0</v>
      </c>
    </row>
    <row r="53" spans="1:32" ht="12.75">
      <c r="A53" s="10" t="s">
        <v>40</v>
      </c>
      <c r="B53" s="10" t="s">
        <v>258</v>
      </c>
      <c r="C53" s="10" t="s">
        <v>300</v>
      </c>
      <c r="D53" s="10" t="s">
        <v>464</v>
      </c>
      <c r="E53" s="10" t="s">
        <v>614</v>
      </c>
      <c r="F53" s="30">
        <v>8.3138</v>
      </c>
      <c r="H53" s="30">
        <f>ROUND(F53*AE53,2)</f>
        <v>0</v>
      </c>
      <c r="I53" s="30">
        <f>J53-H53</f>
        <v>0</v>
      </c>
      <c r="J53" s="30">
        <f>ROUND(F53*G53,2)</f>
        <v>0</v>
      </c>
      <c r="K53" s="30">
        <v>0</v>
      </c>
      <c r="L53" s="30">
        <f>F53*K53</f>
        <v>0</v>
      </c>
      <c r="N53" s="50" t="s">
        <v>11</v>
      </c>
      <c r="O53" s="30">
        <f>IF(N53="5",I53,0)</f>
        <v>0</v>
      </c>
      <c r="Z53" s="30">
        <f>IF(AD53=0,J53,0)</f>
        <v>0</v>
      </c>
      <c r="AA53" s="30">
        <f>IF(AD53=15,J53,0)</f>
        <v>0</v>
      </c>
      <c r="AB53" s="30">
        <f>IF(AD53=21,J53,0)</f>
        <v>0</v>
      </c>
      <c r="AD53" s="30">
        <v>21</v>
      </c>
      <c r="AE53" s="30">
        <f>G53*0</f>
        <v>0</v>
      </c>
      <c r="AF53" s="30">
        <f>G53*(1-0)</f>
        <v>0</v>
      </c>
    </row>
    <row r="54" spans="1:32" ht="12.75">
      <c r="A54" s="10" t="s">
        <v>41</v>
      </c>
      <c r="B54" s="10" t="s">
        <v>258</v>
      </c>
      <c r="C54" s="10" t="s">
        <v>301</v>
      </c>
      <c r="D54" s="10" t="s">
        <v>465</v>
      </c>
      <c r="E54" s="10" t="s">
        <v>614</v>
      </c>
      <c r="F54" s="30">
        <v>33.26</v>
      </c>
      <c r="H54" s="30">
        <f>ROUND(F54*AE54,2)</f>
        <v>0</v>
      </c>
      <c r="I54" s="30">
        <f>J54-H54</f>
        <v>0</v>
      </c>
      <c r="J54" s="30">
        <f>ROUND(F54*G54,2)</f>
        <v>0</v>
      </c>
      <c r="K54" s="30">
        <v>0</v>
      </c>
      <c r="L54" s="30">
        <f>F54*K54</f>
        <v>0</v>
      </c>
      <c r="N54" s="50" t="s">
        <v>11</v>
      </c>
      <c r="O54" s="30">
        <f>IF(N54="5",I54,0)</f>
        <v>0</v>
      </c>
      <c r="Z54" s="30">
        <f>IF(AD54=0,J54,0)</f>
        <v>0</v>
      </c>
      <c r="AA54" s="30">
        <f>IF(AD54=15,J54,0)</f>
        <v>0</v>
      </c>
      <c r="AB54" s="30">
        <f>IF(AD54=21,J54,0)</f>
        <v>0</v>
      </c>
      <c r="AD54" s="30">
        <v>21</v>
      </c>
      <c r="AE54" s="30">
        <f>G54*0</f>
        <v>0</v>
      </c>
      <c r="AF54" s="30">
        <f>G54*(1-0)</f>
        <v>0</v>
      </c>
    </row>
    <row r="55" spans="1:37" ht="12.75">
      <c r="A55" s="9"/>
      <c r="B55" s="9"/>
      <c r="C55" s="20" t="s">
        <v>65</v>
      </c>
      <c r="D55" s="25" t="s">
        <v>466</v>
      </c>
      <c r="E55" s="28"/>
      <c r="F55" s="28"/>
      <c r="G55" s="28"/>
      <c r="H55" s="52">
        <f>SUM(H56:H65)</f>
        <v>0</v>
      </c>
      <c r="I55" s="52">
        <f>SUM(I56:I65)</f>
        <v>0</v>
      </c>
      <c r="J55" s="52">
        <f>H55+I55</f>
        <v>0</v>
      </c>
      <c r="K55" s="44"/>
      <c r="L55" s="52">
        <f>SUM(L56:L65)</f>
        <v>463.59817100000015</v>
      </c>
      <c r="P55" s="52">
        <f>IF(Q55="PR",J55,SUM(O56:O65))</f>
        <v>0</v>
      </c>
      <c r="Q55" s="44" t="s">
        <v>641</v>
      </c>
      <c r="R55" s="52">
        <f>IF(Q55="HS",H55,0)</f>
        <v>0</v>
      </c>
      <c r="S55" s="52">
        <f>IF(Q55="HS",I55-P55,0)</f>
        <v>0</v>
      </c>
      <c r="T55" s="52">
        <f>IF(Q55="PS",H55,0)</f>
        <v>0</v>
      </c>
      <c r="U55" s="52">
        <f>IF(Q55="PS",I55-P55,0)</f>
        <v>0</v>
      </c>
      <c r="V55" s="52">
        <f>IF(Q55="MP",H55,0)</f>
        <v>0</v>
      </c>
      <c r="W55" s="52">
        <f>IF(Q55="MP",I55-P55,0)</f>
        <v>0</v>
      </c>
      <c r="X55" s="52">
        <f>IF(Q55="OM",H55,0)</f>
        <v>0</v>
      </c>
      <c r="Y55" s="44" t="s">
        <v>258</v>
      </c>
      <c r="AI55" s="52">
        <f>SUM(Z56:Z65)</f>
        <v>0</v>
      </c>
      <c r="AJ55" s="52">
        <f>SUM(AA56:AA65)</f>
        <v>0</v>
      </c>
      <c r="AK55" s="52">
        <f>SUM(AB56:AB65)</f>
        <v>0</v>
      </c>
    </row>
    <row r="56" spans="1:32" ht="12.75">
      <c r="A56" s="10" t="s">
        <v>42</v>
      </c>
      <c r="B56" s="10" t="s">
        <v>258</v>
      </c>
      <c r="C56" s="10" t="s">
        <v>302</v>
      </c>
      <c r="D56" s="10" t="s">
        <v>467</v>
      </c>
      <c r="E56" s="10" t="s">
        <v>612</v>
      </c>
      <c r="F56" s="30">
        <v>199.7</v>
      </c>
      <c r="H56" s="30">
        <f aca="true" t="shared" si="26" ref="H56:H65">ROUND(F56*AE56,2)</f>
        <v>0</v>
      </c>
      <c r="I56" s="30">
        <f aca="true" t="shared" si="27" ref="I56:I65">J56-H56</f>
        <v>0</v>
      </c>
      <c r="J56" s="30">
        <f aca="true" t="shared" si="28" ref="J56:J65">ROUND(F56*G56,2)</f>
        <v>0</v>
      </c>
      <c r="K56" s="30">
        <v>1.27869</v>
      </c>
      <c r="L56" s="30">
        <f aca="true" t="shared" si="29" ref="L56:L65">F56*K56</f>
        <v>255.35439300000002</v>
      </c>
      <c r="N56" s="50" t="s">
        <v>9</v>
      </c>
      <c r="O56" s="30">
        <f aca="true" t="shared" si="30" ref="O56:O65">IF(N56="5",I56,0)</f>
        <v>0</v>
      </c>
      <c r="Z56" s="30">
        <f aca="true" t="shared" si="31" ref="Z56:Z65">IF(AD56=0,J56,0)</f>
        <v>0</v>
      </c>
      <c r="AA56" s="30">
        <f aca="true" t="shared" si="32" ref="AA56:AA65">IF(AD56=15,J56,0)</f>
        <v>0</v>
      </c>
      <c r="AB56" s="30">
        <f aca="true" t="shared" si="33" ref="AB56:AB65">IF(AD56=21,J56,0)</f>
        <v>0</v>
      </c>
      <c r="AD56" s="30">
        <v>21</v>
      </c>
      <c r="AE56" s="30">
        <f>G56*0.580095292040116</f>
        <v>0</v>
      </c>
      <c r="AF56" s="30">
        <f>G56*(1-0.580095292040116)</f>
        <v>0</v>
      </c>
    </row>
    <row r="57" spans="1:32" ht="12.75">
      <c r="A57" s="10" t="s">
        <v>43</v>
      </c>
      <c r="B57" s="10" t="s">
        <v>258</v>
      </c>
      <c r="C57" s="10" t="s">
        <v>303</v>
      </c>
      <c r="D57" s="10" t="s">
        <v>468</v>
      </c>
      <c r="E57" s="10" t="s">
        <v>612</v>
      </c>
      <c r="F57" s="30">
        <v>187</v>
      </c>
      <c r="H57" s="30">
        <f t="shared" si="26"/>
        <v>0</v>
      </c>
      <c r="I57" s="30">
        <f t="shared" si="27"/>
        <v>0</v>
      </c>
      <c r="J57" s="30">
        <f t="shared" si="28"/>
        <v>0</v>
      </c>
      <c r="K57" s="30">
        <v>0.57848</v>
      </c>
      <c r="L57" s="30">
        <f t="shared" si="29"/>
        <v>108.17576</v>
      </c>
      <c r="N57" s="50" t="s">
        <v>9</v>
      </c>
      <c r="O57" s="30">
        <f t="shared" si="30"/>
        <v>0</v>
      </c>
      <c r="Z57" s="30">
        <f t="shared" si="31"/>
        <v>0</v>
      </c>
      <c r="AA57" s="30">
        <f t="shared" si="32"/>
        <v>0</v>
      </c>
      <c r="AB57" s="30">
        <f t="shared" si="33"/>
        <v>0</v>
      </c>
      <c r="AD57" s="30">
        <v>21</v>
      </c>
      <c r="AE57" s="30">
        <f>G57*0.622299227777077</f>
        <v>0</v>
      </c>
      <c r="AF57" s="30">
        <f>G57*(1-0.622299227777077)</f>
        <v>0</v>
      </c>
    </row>
    <row r="58" spans="1:32" ht="12.75">
      <c r="A58" s="10" t="s">
        <v>44</v>
      </c>
      <c r="B58" s="10" t="s">
        <v>258</v>
      </c>
      <c r="C58" s="10" t="s">
        <v>303</v>
      </c>
      <c r="D58" s="10" t="s">
        <v>469</v>
      </c>
      <c r="E58" s="10" t="s">
        <v>612</v>
      </c>
      <c r="F58" s="30">
        <v>28</v>
      </c>
      <c r="H58" s="30">
        <f t="shared" si="26"/>
        <v>0</v>
      </c>
      <c r="I58" s="30">
        <f t="shared" si="27"/>
        <v>0</v>
      </c>
      <c r="J58" s="30">
        <f t="shared" si="28"/>
        <v>0</v>
      </c>
      <c r="K58" s="30">
        <v>0.57848</v>
      </c>
      <c r="L58" s="30">
        <f t="shared" si="29"/>
        <v>16.19744</v>
      </c>
      <c r="N58" s="50" t="s">
        <v>9</v>
      </c>
      <c r="O58" s="30">
        <f t="shared" si="30"/>
        <v>0</v>
      </c>
      <c r="Z58" s="30">
        <f t="shared" si="31"/>
        <v>0</v>
      </c>
      <c r="AA58" s="30">
        <f t="shared" si="32"/>
        <v>0</v>
      </c>
      <c r="AB58" s="30">
        <f t="shared" si="33"/>
        <v>0</v>
      </c>
      <c r="AD58" s="30">
        <v>21</v>
      </c>
      <c r="AE58" s="30">
        <f>G58*0.661176930757275</f>
        <v>0</v>
      </c>
      <c r="AF58" s="30">
        <f>G58*(1-0.661176930757275)</f>
        <v>0</v>
      </c>
    </row>
    <row r="59" spans="1:32" ht="12.75">
      <c r="A59" s="10" t="s">
        <v>45</v>
      </c>
      <c r="B59" s="10" t="s">
        <v>258</v>
      </c>
      <c r="C59" s="10" t="s">
        <v>304</v>
      </c>
      <c r="D59" s="10" t="s">
        <v>470</v>
      </c>
      <c r="E59" s="10" t="s">
        <v>616</v>
      </c>
      <c r="F59" s="30">
        <v>103.5</v>
      </c>
      <c r="H59" s="30">
        <f t="shared" si="26"/>
        <v>0</v>
      </c>
      <c r="I59" s="30">
        <f t="shared" si="27"/>
        <v>0</v>
      </c>
      <c r="J59" s="30">
        <f t="shared" si="28"/>
        <v>0</v>
      </c>
      <c r="K59" s="30">
        <v>0.0942</v>
      </c>
      <c r="L59" s="30">
        <f t="shared" si="29"/>
        <v>9.7497</v>
      </c>
      <c r="N59" s="50" t="s">
        <v>7</v>
      </c>
      <c r="O59" s="30">
        <f t="shared" si="30"/>
        <v>0</v>
      </c>
      <c r="Z59" s="30">
        <f t="shared" si="31"/>
        <v>0</v>
      </c>
      <c r="AA59" s="30">
        <f t="shared" si="32"/>
        <v>0</v>
      </c>
      <c r="AB59" s="30">
        <f t="shared" si="33"/>
        <v>0</v>
      </c>
      <c r="AD59" s="30">
        <v>21</v>
      </c>
      <c r="AE59" s="30">
        <f>G59*0.728278873663605</f>
        <v>0</v>
      </c>
      <c r="AF59" s="30">
        <f>G59*(1-0.728278873663605)</f>
        <v>0</v>
      </c>
    </row>
    <row r="60" spans="1:32" ht="12.75">
      <c r="A60" s="10" t="s">
        <v>46</v>
      </c>
      <c r="B60" s="10" t="s">
        <v>258</v>
      </c>
      <c r="C60" s="10" t="s">
        <v>305</v>
      </c>
      <c r="D60" s="10" t="s">
        <v>471</v>
      </c>
      <c r="E60" s="10" t="s">
        <v>616</v>
      </c>
      <c r="F60" s="30">
        <v>29</v>
      </c>
      <c r="H60" s="30">
        <f t="shared" si="26"/>
        <v>0</v>
      </c>
      <c r="I60" s="30">
        <f t="shared" si="27"/>
        <v>0</v>
      </c>
      <c r="J60" s="30">
        <f t="shared" si="28"/>
        <v>0</v>
      </c>
      <c r="K60" s="30">
        <v>0.21675</v>
      </c>
      <c r="L60" s="30">
        <f t="shared" si="29"/>
        <v>6.28575</v>
      </c>
      <c r="N60" s="50" t="s">
        <v>7</v>
      </c>
      <c r="O60" s="30">
        <f t="shared" si="30"/>
        <v>0</v>
      </c>
      <c r="Z60" s="30">
        <f t="shared" si="31"/>
        <v>0</v>
      </c>
      <c r="AA60" s="30">
        <f t="shared" si="32"/>
        <v>0</v>
      </c>
      <c r="AB60" s="30">
        <f t="shared" si="33"/>
        <v>0</v>
      </c>
      <c r="AD60" s="30">
        <v>21</v>
      </c>
      <c r="AE60" s="30">
        <f>G60*0.814035948020596</f>
        <v>0</v>
      </c>
      <c r="AF60" s="30">
        <f>G60*(1-0.814035948020596)</f>
        <v>0</v>
      </c>
    </row>
    <row r="61" spans="1:32" ht="12.75">
      <c r="A61" s="10" t="s">
        <v>47</v>
      </c>
      <c r="B61" s="10" t="s">
        <v>258</v>
      </c>
      <c r="C61" s="10" t="s">
        <v>306</v>
      </c>
      <c r="D61" s="10" t="s">
        <v>471</v>
      </c>
      <c r="E61" s="10" t="s">
        <v>616</v>
      </c>
      <c r="F61" s="30">
        <v>104</v>
      </c>
      <c r="H61" s="30">
        <f t="shared" si="26"/>
        <v>0</v>
      </c>
      <c r="I61" s="30">
        <f t="shared" si="27"/>
        <v>0</v>
      </c>
      <c r="J61" s="30">
        <f t="shared" si="28"/>
        <v>0</v>
      </c>
      <c r="K61" s="30">
        <v>0.19049</v>
      </c>
      <c r="L61" s="30">
        <f t="shared" si="29"/>
        <v>19.810959999999998</v>
      </c>
      <c r="N61" s="50" t="s">
        <v>7</v>
      </c>
      <c r="O61" s="30">
        <f t="shared" si="30"/>
        <v>0</v>
      </c>
      <c r="Z61" s="30">
        <f t="shared" si="31"/>
        <v>0</v>
      </c>
      <c r="AA61" s="30">
        <f t="shared" si="32"/>
        <v>0</v>
      </c>
      <c r="AB61" s="30">
        <f t="shared" si="33"/>
        <v>0</v>
      </c>
      <c r="AD61" s="30">
        <v>21</v>
      </c>
      <c r="AE61" s="30">
        <f>G61*0.800036506342977</f>
        <v>0</v>
      </c>
      <c r="AF61" s="30">
        <f>G61*(1-0.800036506342977)</f>
        <v>0</v>
      </c>
    </row>
    <row r="62" spans="1:32" ht="12.75">
      <c r="A62" s="10" t="s">
        <v>48</v>
      </c>
      <c r="B62" s="10" t="s">
        <v>258</v>
      </c>
      <c r="C62" s="10" t="s">
        <v>307</v>
      </c>
      <c r="D62" s="10" t="s">
        <v>471</v>
      </c>
      <c r="E62" s="10" t="s">
        <v>616</v>
      </c>
      <c r="F62" s="30">
        <v>110.8</v>
      </c>
      <c r="H62" s="30">
        <f t="shared" si="26"/>
        <v>0</v>
      </c>
      <c r="I62" s="30">
        <f t="shared" si="27"/>
        <v>0</v>
      </c>
      <c r="J62" s="30">
        <f t="shared" si="28"/>
        <v>0</v>
      </c>
      <c r="K62" s="30">
        <v>0.16221</v>
      </c>
      <c r="L62" s="30">
        <f t="shared" si="29"/>
        <v>17.972868</v>
      </c>
      <c r="N62" s="50" t="s">
        <v>7</v>
      </c>
      <c r="O62" s="30">
        <f t="shared" si="30"/>
        <v>0</v>
      </c>
      <c r="Z62" s="30">
        <f t="shared" si="31"/>
        <v>0</v>
      </c>
      <c r="AA62" s="30">
        <f t="shared" si="32"/>
        <v>0</v>
      </c>
      <c r="AB62" s="30">
        <f t="shared" si="33"/>
        <v>0</v>
      </c>
      <c r="AD62" s="30">
        <v>21</v>
      </c>
      <c r="AE62" s="30">
        <f>G62*0.768311596757138</f>
        <v>0</v>
      </c>
      <c r="AF62" s="30">
        <f>G62*(1-0.768311596757138)</f>
        <v>0</v>
      </c>
    </row>
    <row r="63" spans="1:32" ht="12.75">
      <c r="A63" s="10" t="s">
        <v>49</v>
      </c>
      <c r="B63" s="10" t="s">
        <v>258</v>
      </c>
      <c r="C63" s="10" t="s">
        <v>308</v>
      </c>
      <c r="D63" s="10" t="s">
        <v>472</v>
      </c>
      <c r="E63" s="10" t="s">
        <v>616</v>
      </c>
      <c r="F63" s="30">
        <v>91.9</v>
      </c>
      <c r="H63" s="30">
        <f t="shared" si="26"/>
        <v>0</v>
      </c>
      <c r="I63" s="30">
        <f t="shared" si="27"/>
        <v>0</v>
      </c>
      <c r="J63" s="30">
        <f t="shared" si="28"/>
        <v>0</v>
      </c>
      <c r="K63" s="30">
        <v>0.327</v>
      </c>
      <c r="L63" s="30">
        <f t="shared" si="29"/>
        <v>30.051300000000005</v>
      </c>
      <c r="N63" s="50" t="s">
        <v>7</v>
      </c>
      <c r="O63" s="30">
        <f t="shared" si="30"/>
        <v>0</v>
      </c>
      <c r="Z63" s="30">
        <f t="shared" si="31"/>
        <v>0</v>
      </c>
      <c r="AA63" s="30">
        <f t="shared" si="32"/>
        <v>0</v>
      </c>
      <c r="AB63" s="30">
        <f t="shared" si="33"/>
        <v>0</v>
      </c>
      <c r="AD63" s="30">
        <v>21</v>
      </c>
      <c r="AE63" s="30">
        <f>G63*0.740506329113924</f>
        <v>0</v>
      </c>
      <c r="AF63" s="30">
        <f>G63*(1-0.740506329113924)</f>
        <v>0</v>
      </c>
    </row>
    <row r="64" spans="1:32" ht="12.75">
      <c r="A64" s="10" t="s">
        <v>50</v>
      </c>
      <c r="B64" s="10" t="s">
        <v>258</v>
      </c>
      <c r="C64" s="10" t="s">
        <v>296</v>
      </c>
      <c r="D64" s="10" t="s">
        <v>459</v>
      </c>
      <c r="E64" s="10" t="s">
        <v>614</v>
      </c>
      <c r="F64" s="30">
        <v>469.13</v>
      </c>
      <c r="H64" s="30">
        <f t="shared" si="26"/>
        <v>0</v>
      </c>
      <c r="I64" s="30">
        <f t="shared" si="27"/>
        <v>0</v>
      </c>
      <c r="J64" s="30">
        <f t="shared" si="28"/>
        <v>0</v>
      </c>
      <c r="K64" s="30">
        <v>0</v>
      </c>
      <c r="L64" s="30">
        <f t="shared" si="29"/>
        <v>0</v>
      </c>
      <c r="N64" s="50" t="s">
        <v>11</v>
      </c>
      <c r="O64" s="30">
        <f t="shared" si="30"/>
        <v>0</v>
      </c>
      <c r="Z64" s="30">
        <f t="shared" si="31"/>
        <v>0</v>
      </c>
      <c r="AA64" s="30">
        <f t="shared" si="32"/>
        <v>0</v>
      </c>
      <c r="AB64" s="30">
        <f t="shared" si="33"/>
        <v>0</v>
      </c>
      <c r="AD64" s="30">
        <v>21</v>
      </c>
      <c r="AE64" s="30">
        <f>G64*0</f>
        <v>0</v>
      </c>
      <c r="AF64" s="30">
        <f>G64*(1-0)</f>
        <v>0</v>
      </c>
    </row>
    <row r="65" spans="1:32" ht="12.75">
      <c r="A65" s="10" t="s">
        <v>51</v>
      </c>
      <c r="B65" s="10" t="s">
        <v>258</v>
      </c>
      <c r="C65" s="10" t="s">
        <v>297</v>
      </c>
      <c r="D65" s="10" t="s">
        <v>460</v>
      </c>
      <c r="E65" s="10" t="s">
        <v>614</v>
      </c>
      <c r="F65" s="30">
        <v>938.26</v>
      </c>
      <c r="H65" s="30">
        <f t="shared" si="26"/>
        <v>0</v>
      </c>
      <c r="I65" s="30">
        <f t="shared" si="27"/>
        <v>0</v>
      </c>
      <c r="J65" s="30">
        <f t="shared" si="28"/>
        <v>0</v>
      </c>
      <c r="K65" s="30">
        <v>0</v>
      </c>
      <c r="L65" s="30">
        <f t="shared" si="29"/>
        <v>0</v>
      </c>
      <c r="N65" s="50" t="s">
        <v>11</v>
      </c>
      <c r="O65" s="30">
        <f t="shared" si="30"/>
        <v>0</v>
      </c>
      <c r="Z65" s="30">
        <f t="shared" si="31"/>
        <v>0</v>
      </c>
      <c r="AA65" s="30">
        <f t="shared" si="32"/>
        <v>0</v>
      </c>
      <c r="AB65" s="30">
        <f t="shared" si="33"/>
        <v>0</v>
      </c>
      <c r="AD65" s="30">
        <v>21</v>
      </c>
      <c r="AE65" s="30">
        <f>G65*0</f>
        <v>0</v>
      </c>
      <c r="AF65" s="30">
        <f>G65*(1-0)</f>
        <v>0</v>
      </c>
    </row>
    <row r="66" spans="1:37" ht="12.75">
      <c r="A66" s="9"/>
      <c r="B66" s="9"/>
      <c r="C66" s="20" t="s">
        <v>95</v>
      </c>
      <c r="D66" s="25" t="s">
        <v>473</v>
      </c>
      <c r="E66" s="28"/>
      <c r="F66" s="28"/>
      <c r="G66" s="28"/>
      <c r="H66" s="52">
        <f>SUM(H67:H68)</f>
        <v>0</v>
      </c>
      <c r="I66" s="52">
        <f>SUM(I67:I68)</f>
        <v>0</v>
      </c>
      <c r="J66" s="52">
        <f>H66+I66</f>
        <v>0</v>
      </c>
      <c r="K66" s="44"/>
      <c r="L66" s="52">
        <f>SUM(L67:L68)</f>
        <v>0</v>
      </c>
      <c r="P66" s="52">
        <f>IF(Q66="PR",J66,SUM(O67:O68))</f>
        <v>0</v>
      </c>
      <c r="Q66" s="44" t="s">
        <v>641</v>
      </c>
      <c r="R66" s="52">
        <f>IF(Q66="HS",H66,0)</f>
        <v>0</v>
      </c>
      <c r="S66" s="52">
        <f>IF(Q66="HS",I66-P66,0)</f>
        <v>0</v>
      </c>
      <c r="T66" s="52">
        <f>IF(Q66="PS",H66,0)</f>
        <v>0</v>
      </c>
      <c r="U66" s="52">
        <f>IF(Q66="PS",I66-P66,0)</f>
        <v>0</v>
      </c>
      <c r="V66" s="52">
        <f>IF(Q66="MP",H66,0)</f>
        <v>0</v>
      </c>
      <c r="W66" s="52">
        <f>IF(Q66="MP",I66-P66,0)</f>
        <v>0</v>
      </c>
      <c r="X66" s="52">
        <f>IF(Q66="OM",H66,0)</f>
        <v>0</v>
      </c>
      <c r="Y66" s="44" t="s">
        <v>258</v>
      </c>
      <c r="AI66" s="52">
        <f>SUM(Z67:Z68)</f>
        <v>0</v>
      </c>
      <c r="AJ66" s="52">
        <f>SUM(AA67:AA68)</f>
        <v>0</v>
      </c>
      <c r="AK66" s="52">
        <f>SUM(AB67:AB68)</f>
        <v>0</v>
      </c>
    </row>
    <row r="67" spans="1:32" ht="12.75">
      <c r="A67" s="10" t="s">
        <v>52</v>
      </c>
      <c r="B67" s="10" t="s">
        <v>258</v>
      </c>
      <c r="C67" s="10" t="s">
        <v>309</v>
      </c>
      <c r="D67" s="10" t="s">
        <v>474</v>
      </c>
      <c r="E67" s="10" t="s">
        <v>611</v>
      </c>
      <c r="F67" s="30">
        <v>1</v>
      </c>
      <c r="H67" s="30">
        <f>ROUND(F67*AE67,2)</f>
        <v>0</v>
      </c>
      <c r="I67" s="30">
        <f>J67-H67</f>
        <v>0</v>
      </c>
      <c r="J67" s="30">
        <f>ROUND(F67*G67,2)</f>
        <v>0</v>
      </c>
      <c r="K67" s="30">
        <v>0</v>
      </c>
      <c r="L67" s="30">
        <f>F67*K67</f>
        <v>0</v>
      </c>
      <c r="N67" s="50" t="s">
        <v>7</v>
      </c>
      <c r="O67" s="30">
        <f>IF(N67="5",I67,0)</f>
        <v>0</v>
      </c>
      <c r="Z67" s="30">
        <f>IF(AD67=0,J67,0)</f>
        <v>0</v>
      </c>
      <c r="AA67" s="30">
        <f>IF(AD67=15,J67,0)</f>
        <v>0</v>
      </c>
      <c r="AB67" s="30">
        <f>IF(AD67=21,J67,0)</f>
        <v>0</v>
      </c>
      <c r="AD67" s="30">
        <v>21</v>
      </c>
      <c r="AE67" s="30">
        <f>G67*0</f>
        <v>0</v>
      </c>
      <c r="AF67" s="30">
        <f>G67*(1-0)</f>
        <v>0</v>
      </c>
    </row>
    <row r="68" spans="1:32" ht="12.75">
      <c r="A68" s="10" t="s">
        <v>53</v>
      </c>
      <c r="B68" s="10" t="s">
        <v>258</v>
      </c>
      <c r="C68" s="10" t="s">
        <v>310</v>
      </c>
      <c r="D68" s="10" t="s">
        <v>475</v>
      </c>
      <c r="E68" s="10" t="s">
        <v>619</v>
      </c>
      <c r="F68" s="30">
        <v>5</v>
      </c>
      <c r="H68" s="30">
        <f>ROUND(F68*AE68,2)</f>
        <v>0</v>
      </c>
      <c r="I68" s="30">
        <f>J68-H68</f>
        <v>0</v>
      </c>
      <c r="J68" s="30">
        <f>ROUND(F68*G68,2)</f>
        <v>0</v>
      </c>
      <c r="K68" s="30">
        <v>0</v>
      </c>
      <c r="L68" s="30">
        <f>F68*K68</f>
        <v>0</v>
      </c>
      <c r="N68" s="50" t="s">
        <v>7</v>
      </c>
      <c r="O68" s="30">
        <f>IF(N68="5",I68,0)</f>
        <v>0</v>
      </c>
      <c r="Z68" s="30">
        <f>IF(AD68=0,J68,0)</f>
        <v>0</v>
      </c>
      <c r="AA68" s="30">
        <f>IF(AD68=15,J68,0)</f>
        <v>0</v>
      </c>
      <c r="AB68" s="30">
        <f>IF(AD68=21,J68,0)</f>
        <v>0</v>
      </c>
      <c r="AD68" s="30">
        <v>21</v>
      </c>
      <c r="AE68" s="30">
        <f>G68*0</f>
        <v>0</v>
      </c>
      <c r="AF68" s="30">
        <f>G68*(1-0)</f>
        <v>0</v>
      </c>
    </row>
    <row r="69" spans="1:37" ht="12.75">
      <c r="A69" s="9"/>
      <c r="B69" s="9"/>
      <c r="C69" s="20" t="s">
        <v>97</v>
      </c>
      <c r="D69" s="25" t="s">
        <v>476</v>
      </c>
      <c r="E69" s="28"/>
      <c r="F69" s="28"/>
      <c r="G69" s="28"/>
      <c r="H69" s="52">
        <f>SUM(H70:H76)</f>
        <v>0</v>
      </c>
      <c r="I69" s="52">
        <f>SUM(I70:I76)</f>
        <v>0</v>
      </c>
      <c r="J69" s="52">
        <f>H69+I69</f>
        <v>0</v>
      </c>
      <c r="K69" s="44"/>
      <c r="L69" s="52">
        <f>SUM(L70:L76)</f>
        <v>1.532035</v>
      </c>
      <c r="P69" s="52">
        <f>IF(Q69="PR",J69,SUM(O70:O76))</f>
        <v>0</v>
      </c>
      <c r="Q69" s="44" t="s">
        <v>641</v>
      </c>
      <c r="R69" s="52">
        <f>IF(Q69="HS",H69,0)</f>
        <v>0</v>
      </c>
      <c r="S69" s="52">
        <f>IF(Q69="HS",I69-P69,0)</f>
        <v>0</v>
      </c>
      <c r="T69" s="52">
        <f>IF(Q69="PS",H69,0)</f>
        <v>0</v>
      </c>
      <c r="U69" s="52">
        <f>IF(Q69="PS",I69-P69,0)</f>
        <v>0</v>
      </c>
      <c r="V69" s="52">
        <f>IF(Q69="MP",H69,0)</f>
        <v>0</v>
      </c>
      <c r="W69" s="52">
        <f>IF(Q69="MP",I69-P69,0)</f>
        <v>0</v>
      </c>
      <c r="X69" s="52">
        <f>IF(Q69="OM",H69,0)</f>
        <v>0</v>
      </c>
      <c r="Y69" s="44" t="s">
        <v>258</v>
      </c>
      <c r="AI69" s="52">
        <f>SUM(Z70:Z76)</f>
        <v>0</v>
      </c>
      <c r="AJ69" s="52">
        <f>SUM(AA70:AA76)</f>
        <v>0</v>
      </c>
      <c r="AK69" s="52">
        <f>SUM(AB70:AB76)</f>
        <v>0</v>
      </c>
    </row>
    <row r="70" spans="1:32" ht="12.75">
      <c r="A70" s="10" t="s">
        <v>54</v>
      </c>
      <c r="B70" s="10" t="s">
        <v>258</v>
      </c>
      <c r="C70" s="10" t="s">
        <v>311</v>
      </c>
      <c r="D70" s="10" t="s">
        <v>477</v>
      </c>
      <c r="E70" s="10" t="s">
        <v>616</v>
      </c>
      <c r="F70" s="30">
        <v>106.9</v>
      </c>
      <c r="H70" s="30">
        <f aca="true" t="shared" si="34" ref="H70:H76">ROUND(F70*AE70,2)</f>
        <v>0</v>
      </c>
      <c r="I70" s="30">
        <f aca="true" t="shared" si="35" ref="I70:I76">J70-H70</f>
        <v>0</v>
      </c>
      <c r="J70" s="30">
        <f aca="true" t="shared" si="36" ref="J70:J76">ROUND(F70*G70,2)</f>
        <v>0</v>
      </c>
      <c r="K70" s="30">
        <v>0</v>
      </c>
      <c r="L70" s="30">
        <f aca="true" t="shared" si="37" ref="L70:L76">F70*K70</f>
        <v>0</v>
      </c>
      <c r="N70" s="50" t="s">
        <v>7</v>
      </c>
      <c r="O70" s="30">
        <f aca="true" t="shared" si="38" ref="O70:O76">IF(N70="5",I70,0)</f>
        <v>0</v>
      </c>
      <c r="Z70" s="30">
        <f aca="true" t="shared" si="39" ref="Z70:Z76">IF(AD70=0,J70,0)</f>
        <v>0</v>
      </c>
      <c r="AA70" s="30">
        <f aca="true" t="shared" si="40" ref="AA70:AA76">IF(AD70=15,J70,0)</f>
        <v>0</v>
      </c>
      <c r="AB70" s="30">
        <f aca="true" t="shared" si="41" ref="AB70:AB76">IF(AD70=21,J70,0)</f>
        <v>0</v>
      </c>
      <c r="AD70" s="30">
        <v>21</v>
      </c>
      <c r="AE70" s="30">
        <f>G70*0.658058107772535</f>
        <v>0</v>
      </c>
      <c r="AF70" s="30">
        <f>G70*(1-0.658058107772535)</f>
        <v>0</v>
      </c>
    </row>
    <row r="71" spans="1:32" ht="12.75">
      <c r="A71" s="10" t="s">
        <v>55</v>
      </c>
      <c r="B71" s="10" t="s">
        <v>258</v>
      </c>
      <c r="C71" s="10" t="s">
        <v>312</v>
      </c>
      <c r="D71" s="10" t="s">
        <v>478</v>
      </c>
      <c r="E71" s="10" t="s">
        <v>616</v>
      </c>
      <c r="F71" s="30">
        <v>106.9</v>
      </c>
      <c r="H71" s="30">
        <f t="shared" si="34"/>
        <v>0</v>
      </c>
      <c r="I71" s="30">
        <f t="shared" si="35"/>
        <v>0</v>
      </c>
      <c r="J71" s="30">
        <f t="shared" si="36"/>
        <v>0</v>
      </c>
      <c r="K71" s="30">
        <v>0</v>
      </c>
      <c r="L71" s="30">
        <f t="shared" si="37"/>
        <v>0</v>
      </c>
      <c r="N71" s="50" t="s">
        <v>7</v>
      </c>
      <c r="O71" s="30">
        <f t="shared" si="38"/>
        <v>0</v>
      </c>
      <c r="Z71" s="30">
        <f t="shared" si="39"/>
        <v>0</v>
      </c>
      <c r="AA71" s="30">
        <f t="shared" si="40"/>
        <v>0</v>
      </c>
      <c r="AB71" s="30">
        <f t="shared" si="41"/>
        <v>0</v>
      </c>
      <c r="AD71" s="30">
        <v>21</v>
      </c>
      <c r="AE71" s="30">
        <f>G71*0</f>
        <v>0</v>
      </c>
      <c r="AF71" s="30">
        <f>G71*(1-0)</f>
        <v>0</v>
      </c>
    </row>
    <row r="72" spans="1:32" ht="12.75">
      <c r="A72" s="10" t="s">
        <v>56</v>
      </c>
      <c r="B72" s="10" t="s">
        <v>258</v>
      </c>
      <c r="C72" s="10" t="s">
        <v>313</v>
      </c>
      <c r="D72" s="10" t="s">
        <v>479</v>
      </c>
      <c r="E72" s="10" t="s">
        <v>616</v>
      </c>
      <c r="F72" s="30">
        <v>106.9</v>
      </c>
      <c r="H72" s="30">
        <f t="shared" si="34"/>
        <v>0</v>
      </c>
      <c r="I72" s="30">
        <f t="shared" si="35"/>
        <v>0</v>
      </c>
      <c r="J72" s="30">
        <f t="shared" si="36"/>
        <v>0</v>
      </c>
      <c r="K72" s="30">
        <v>0.0043</v>
      </c>
      <c r="L72" s="30">
        <f t="shared" si="37"/>
        <v>0.45967</v>
      </c>
      <c r="N72" s="50" t="s">
        <v>7</v>
      </c>
      <c r="O72" s="30">
        <f t="shared" si="38"/>
        <v>0</v>
      </c>
      <c r="Z72" s="30">
        <f t="shared" si="39"/>
        <v>0</v>
      </c>
      <c r="AA72" s="30">
        <f t="shared" si="40"/>
        <v>0</v>
      </c>
      <c r="AB72" s="30">
        <f t="shared" si="41"/>
        <v>0</v>
      </c>
      <c r="AD72" s="30">
        <v>21</v>
      </c>
      <c r="AE72" s="30">
        <f>G72*0.591760006266155</f>
        <v>0</v>
      </c>
      <c r="AF72" s="30">
        <f>G72*(1-0.591760006266155)</f>
        <v>0</v>
      </c>
    </row>
    <row r="73" spans="1:32" ht="12.75">
      <c r="A73" s="10" t="s">
        <v>57</v>
      </c>
      <c r="B73" s="10" t="s">
        <v>258</v>
      </c>
      <c r="C73" s="10" t="s">
        <v>314</v>
      </c>
      <c r="D73" s="10" t="s">
        <v>480</v>
      </c>
      <c r="E73" s="10" t="s">
        <v>616</v>
      </c>
      <c r="F73" s="30">
        <v>131.7</v>
      </c>
      <c r="H73" s="30">
        <f t="shared" si="34"/>
        <v>0</v>
      </c>
      <c r="I73" s="30">
        <f t="shared" si="35"/>
        <v>0</v>
      </c>
      <c r="J73" s="30">
        <f t="shared" si="36"/>
        <v>0</v>
      </c>
      <c r="K73" s="30">
        <v>9E-05</v>
      </c>
      <c r="L73" s="30">
        <f t="shared" si="37"/>
        <v>0.011852999999999999</v>
      </c>
      <c r="N73" s="50" t="s">
        <v>7</v>
      </c>
      <c r="O73" s="30">
        <f t="shared" si="38"/>
        <v>0</v>
      </c>
      <c r="Z73" s="30">
        <f t="shared" si="39"/>
        <v>0</v>
      </c>
      <c r="AA73" s="30">
        <f t="shared" si="40"/>
        <v>0</v>
      </c>
      <c r="AB73" s="30">
        <f t="shared" si="41"/>
        <v>0</v>
      </c>
      <c r="AD73" s="30">
        <v>21</v>
      </c>
      <c r="AE73" s="30">
        <f>G73*0.60205935796487</f>
        <v>0</v>
      </c>
      <c r="AF73" s="30">
        <f>G73*(1-0.60205935796487)</f>
        <v>0</v>
      </c>
    </row>
    <row r="74" spans="1:32" ht="12.75">
      <c r="A74" s="10" t="s">
        <v>58</v>
      </c>
      <c r="B74" s="10" t="s">
        <v>258</v>
      </c>
      <c r="C74" s="10" t="s">
        <v>315</v>
      </c>
      <c r="D74" s="10" t="s">
        <v>481</v>
      </c>
      <c r="E74" s="10" t="s">
        <v>616</v>
      </c>
      <c r="F74" s="30">
        <v>87.4</v>
      </c>
      <c r="H74" s="30">
        <f t="shared" si="34"/>
        <v>0</v>
      </c>
      <c r="I74" s="30">
        <f t="shared" si="35"/>
        <v>0</v>
      </c>
      <c r="J74" s="30">
        <f t="shared" si="36"/>
        <v>0</v>
      </c>
      <c r="K74" s="30">
        <v>0.00018</v>
      </c>
      <c r="L74" s="30">
        <f t="shared" si="37"/>
        <v>0.015732000000000003</v>
      </c>
      <c r="N74" s="50" t="s">
        <v>7</v>
      </c>
      <c r="O74" s="30">
        <f t="shared" si="38"/>
        <v>0</v>
      </c>
      <c r="Z74" s="30">
        <f t="shared" si="39"/>
        <v>0</v>
      </c>
      <c r="AA74" s="30">
        <f t="shared" si="40"/>
        <v>0</v>
      </c>
      <c r="AB74" s="30">
        <f t="shared" si="41"/>
        <v>0</v>
      </c>
      <c r="AD74" s="30">
        <v>21</v>
      </c>
      <c r="AE74" s="30">
        <f>G74*0.606779661016949</f>
        <v>0</v>
      </c>
      <c r="AF74" s="30">
        <f>G74*(1-0.606779661016949)</f>
        <v>0</v>
      </c>
    </row>
    <row r="75" spans="1:32" ht="12.75">
      <c r="A75" s="10" t="s">
        <v>59</v>
      </c>
      <c r="B75" s="10" t="s">
        <v>258</v>
      </c>
      <c r="C75" s="10" t="s">
        <v>316</v>
      </c>
      <c r="D75" s="10" t="s">
        <v>482</v>
      </c>
      <c r="E75" s="10" t="s">
        <v>612</v>
      </c>
      <c r="F75" s="30">
        <v>80.5</v>
      </c>
      <c r="H75" s="30">
        <f t="shared" si="34"/>
        <v>0</v>
      </c>
      <c r="I75" s="30">
        <f t="shared" si="35"/>
        <v>0</v>
      </c>
      <c r="J75" s="30">
        <f t="shared" si="36"/>
        <v>0</v>
      </c>
      <c r="K75" s="30">
        <v>0.00076</v>
      </c>
      <c r="L75" s="30">
        <f t="shared" si="37"/>
        <v>0.061180000000000005</v>
      </c>
      <c r="N75" s="50" t="s">
        <v>7</v>
      </c>
      <c r="O75" s="30">
        <f t="shared" si="38"/>
        <v>0</v>
      </c>
      <c r="Z75" s="30">
        <f t="shared" si="39"/>
        <v>0</v>
      </c>
      <c r="AA75" s="30">
        <f t="shared" si="40"/>
        <v>0</v>
      </c>
      <c r="AB75" s="30">
        <f t="shared" si="41"/>
        <v>0</v>
      </c>
      <c r="AD75" s="30">
        <v>21</v>
      </c>
      <c r="AE75" s="30">
        <f>G75*0.3222322570934</f>
        <v>0</v>
      </c>
      <c r="AF75" s="30">
        <f>G75*(1-0.3222322570934)</f>
        <v>0</v>
      </c>
    </row>
    <row r="76" spans="1:32" ht="12.75">
      <c r="A76" s="10" t="s">
        <v>60</v>
      </c>
      <c r="B76" s="10" t="s">
        <v>258</v>
      </c>
      <c r="C76" s="10" t="s">
        <v>317</v>
      </c>
      <c r="D76" s="10" t="s">
        <v>483</v>
      </c>
      <c r="E76" s="10" t="s">
        <v>613</v>
      </c>
      <c r="F76" s="30">
        <v>4</v>
      </c>
      <c r="H76" s="30">
        <f t="shared" si="34"/>
        <v>0</v>
      </c>
      <c r="I76" s="30">
        <f t="shared" si="35"/>
        <v>0</v>
      </c>
      <c r="J76" s="30">
        <f t="shared" si="36"/>
        <v>0</v>
      </c>
      <c r="K76" s="30">
        <v>0.2459</v>
      </c>
      <c r="L76" s="30">
        <f t="shared" si="37"/>
        <v>0.9836</v>
      </c>
      <c r="N76" s="50" t="s">
        <v>7</v>
      </c>
      <c r="O76" s="30">
        <f t="shared" si="38"/>
        <v>0</v>
      </c>
      <c r="Z76" s="30">
        <f t="shared" si="39"/>
        <v>0</v>
      </c>
      <c r="AA76" s="30">
        <f t="shared" si="40"/>
        <v>0</v>
      </c>
      <c r="AB76" s="30">
        <f t="shared" si="41"/>
        <v>0</v>
      </c>
      <c r="AD76" s="30">
        <v>21</v>
      </c>
      <c r="AE76" s="30">
        <f>G76*0.958729932215483</f>
        <v>0</v>
      </c>
      <c r="AF76" s="30">
        <f>G76*(1-0.958729932215483)</f>
        <v>0</v>
      </c>
    </row>
    <row r="77" spans="1:37" ht="12.75">
      <c r="A77" s="9"/>
      <c r="B77" s="9"/>
      <c r="C77" s="20" t="s">
        <v>318</v>
      </c>
      <c r="D77" s="25" t="s">
        <v>484</v>
      </c>
      <c r="E77" s="28"/>
      <c r="F77" s="28"/>
      <c r="G77" s="28"/>
      <c r="H77" s="52">
        <f>SUM(H78:H79)</f>
        <v>0</v>
      </c>
      <c r="I77" s="52">
        <f>SUM(I78:I79)</f>
        <v>0</v>
      </c>
      <c r="J77" s="52">
        <f>H77+I77</f>
        <v>0</v>
      </c>
      <c r="K77" s="44"/>
      <c r="L77" s="52">
        <f>SUM(L78:L79)</f>
        <v>0.0015140000000000002</v>
      </c>
      <c r="P77" s="52">
        <f>IF(Q77="PR",J77,SUM(O78:O79))</f>
        <v>0</v>
      </c>
      <c r="Q77" s="44" t="s">
        <v>642</v>
      </c>
      <c r="R77" s="52">
        <f>IF(Q77="HS",H77,0)</f>
        <v>0</v>
      </c>
      <c r="S77" s="52">
        <f>IF(Q77="HS",I77-P77,0)</f>
        <v>0</v>
      </c>
      <c r="T77" s="52">
        <f>IF(Q77="PS",H77,0)</f>
        <v>0</v>
      </c>
      <c r="U77" s="52">
        <f>IF(Q77="PS",I77-P77,0)</f>
        <v>0</v>
      </c>
      <c r="V77" s="52">
        <f>IF(Q77="MP",H77,0)</f>
        <v>0</v>
      </c>
      <c r="W77" s="52">
        <f>IF(Q77="MP",I77-P77,0)</f>
        <v>0</v>
      </c>
      <c r="X77" s="52">
        <f>IF(Q77="OM",H77,0)</f>
        <v>0</v>
      </c>
      <c r="Y77" s="44" t="s">
        <v>258</v>
      </c>
      <c r="AI77" s="52">
        <f>SUM(Z78:Z79)</f>
        <v>0</v>
      </c>
      <c r="AJ77" s="52">
        <f>SUM(AA78:AA79)</f>
        <v>0</v>
      </c>
      <c r="AK77" s="52">
        <f>SUM(AB78:AB79)</f>
        <v>0</v>
      </c>
    </row>
    <row r="78" spans="1:32" ht="12.75">
      <c r="A78" s="10" t="s">
        <v>61</v>
      </c>
      <c r="B78" s="10" t="s">
        <v>258</v>
      </c>
      <c r="C78" s="10" t="s">
        <v>319</v>
      </c>
      <c r="D78" s="10" t="s">
        <v>485</v>
      </c>
      <c r="E78" s="10" t="s">
        <v>615</v>
      </c>
      <c r="F78" s="30">
        <v>40.01</v>
      </c>
      <c r="H78" s="30">
        <f>ROUND(F78*AE78,2)</f>
        <v>0</v>
      </c>
      <c r="I78" s="30">
        <f>J78-H78</f>
        <v>0</v>
      </c>
      <c r="J78" s="30">
        <f>ROUND(F78*G78,2)</f>
        <v>0</v>
      </c>
      <c r="K78" s="30">
        <v>0</v>
      </c>
      <c r="L78" s="30">
        <f>F78*K78</f>
        <v>0</v>
      </c>
      <c r="N78" s="50" t="s">
        <v>8</v>
      </c>
      <c r="O78" s="30">
        <f>IF(N78="5",I78,0)</f>
        <v>0</v>
      </c>
      <c r="Z78" s="30">
        <f>IF(AD78=0,J78,0)</f>
        <v>0</v>
      </c>
      <c r="AA78" s="30">
        <f>IF(AD78=15,J78,0)</f>
        <v>0</v>
      </c>
      <c r="AB78" s="30">
        <f>IF(AD78=21,J78,0)</f>
        <v>0</v>
      </c>
      <c r="AD78" s="30">
        <v>21</v>
      </c>
      <c r="AE78" s="30">
        <f>G78*0</f>
        <v>0</v>
      </c>
      <c r="AF78" s="30">
        <f>G78*(1-0)</f>
        <v>0</v>
      </c>
    </row>
    <row r="79" spans="1:32" ht="12.75">
      <c r="A79" s="10" t="s">
        <v>62</v>
      </c>
      <c r="B79" s="10" t="s">
        <v>258</v>
      </c>
      <c r="C79" s="10" t="s">
        <v>320</v>
      </c>
      <c r="D79" s="10" t="s">
        <v>486</v>
      </c>
      <c r="E79" s="10" t="s">
        <v>612</v>
      </c>
      <c r="F79" s="30">
        <v>75.7</v>
      </c>
      <c r="H79" s="30">
        <f>ROUND(F79*AE79,2)</f>
        <v>0</v>
      </c>
      <c r="I79" s="30">
        <f>J79-H79</f>
        <v>0</v>
      </c>
      <c r="J79" s="30">
        <f>ROUND(F79*G79,2)</f>
        <v>0</v>
      </c>
      <c r="K79" s="30">
        <v>2E-05</v>
      </c>
      <c r="L79" s="30">
        <f>F79*K79</f>
        <v>0.0015140000000000002</v>
      </c>
      <c r="N79" s="50" t="s">
        <v>8</v>
      </c>
      <c r="O79" s="30">
        <f>IF(N79="5",I79,0)</f>
        <v>0</v>
      </c>
      <c r="Z79" s="30">
        <f>IF(AD79=0,J79,0)</f>
        <v>0</v>
      </c>
      <c r="AA79" s="30">
        <f>IF(AD79=15,J79,0)</f>
        <v>0</v>
      </c>
      <c r="AB79" s="30">
        <f>IF(AD79=21,J79,0)</f>
        <v>0</v>
      </c>
      <c r="AD79" s="30">
        <v>21</v>
      </c>
      <c r="AE79" s="30">
        <f>G79*0.151700680272109</f>
        <v>0</v>
      </c>
      <c r="AF79" s="30">
        <f>G79*(1-0.151700680272109)</f>
        <v>0</v>
      </c>
    </row>
    <row r="80" spans="1:37" ht="12.75">
      <c r="A80" s="9"/>
      <c r="B80" s="9"/>
      <c r="C80" s="20"/>
      <c r="D80" s="25" t="s">
        <v>487</v>
      </c>
      <c r="E80" s="28"/>
      <c r="F80" s="28"/>
      <c r="G80" s="28"/>
      <c r="H80" s="52">
        <f>SUM(H81:H84)</f>
        <v>0</v>
      </c>
      <c r="I80" s="52">
        <f>SUM(I81:I84)</f>
        <v>0</v>
      </c>
      <c r="J80" s="52">
        <f>H80+I80</f>
        <v>0</v>
      </c>
      <c r="K80" s="44"/>
      <c r="L80" s="52">
        <f>SUM(L81:L84)</f>
        <v>56.61</v>
      </c>
      <c r="P80" s="52">
        <f>IF(Q80="PR",J80,SUM(O81:O84))</f>
        <v>0</v>
      </c>
      <c r="Q80" s="44" t="s">
        <v>643</v>
      </c>
      <c r="R80" s="52">
        <f>IF(Q80="HS",H80,0)</f>
        <v>0</v>
      </c>
      <c r="S80" s="52">
        <f>IF(Q80="HS",I80-P80,0)</f>
        <v>0</v>
      </c>
      <c r="T80" s="52">
        <f>IF(Q80="PS",H80,0)</f>
        <v>0</v>
      </c>
      <c r="U80" s="52">
        <f>IF(Q80="PS",I80-P80,0)</f>
        <v>0</v>
      </c>
      <c r="V80" s="52">
        <f>IF(Q80="MP",H80,0)</f>
        <v>0</v>
      </c>
      <c r="W80" s="52">
        <f>IF(Q80="MP",I80-P80,0)</f>
        <v>0</v>
      </c>
      <c r="X80" s="52">
        <f>IF(Q80="OM",H80,0)</f>
        <v>0</v>
      </c>
      <c r="Y80" s="44" t="s">
        <v>258</v>
      </c>
      <c r="AI80" s="52">
        <f>SUM(Z81:Z84)</f>
        <v>0</v>
      </c>
      <c r="AJ80" s="52">
        <f>SUM(AA81:AA84)</f>
        <v>0</v>
      </c>
      <c r="AK80" s="52">
        <f>SUM(AB81:AB84)</f>
        <v>0</v>
      </c>
    </row>
    <row r="81" spans="1:32" ht="12.75">
      <c r="A81" s="10" t="s">
        <v>63</v>
      </c>
      <c r="B81" s="10" t="s">
        <v>258</v>
      </c>
      <c r="C81" s="10" t="s">
        <v>321</v>
      </c>
      <c r="D81" s="10" t="s">
        <v>488</v>
      </c>
      <c r="E81" s="10" t="s">
        <v>620</v>
      </c>
      <c r="F81" s="30">
        <v>51.1</v>
      </c>
      <c r="H81" s="30">
        <f>ROUND(F81*AE81,2)</f>
        <v>0</v>
      </c>
      <c r="I81" s="30">
        <f>J81-H81</f>
        <v>0</v>
      </c>
      <c r="J81" s="30">
        <f>ROUND(F81*G81,2)</f>
        <v>0</v>
      </c>
      <c r="K81" s="30">
        <v>1</v>
      </c>
      <c r="L81" s="30">
        <f>F81*K81</f>
        <v>51.1</v>
      </c>
      <c r="N81" s="50" t="s">
        <v>266</v>
      </c>
      <c r="O81" s="30">
        <f>IF(N81="5",I81,0)</f>
        <v>0</v>
      </c>
      <c r="Z81" s="30">
        <f>IF(AD81=0,J81,0)</f>
        <v>0</v>
      </c>
      <c r="AA81" s="30">
        <f>IF(AD81=15,J81,0)</f>
        <v>0</v>
      </c>
      <c r="AB81" s="30">
        <f>IF(AD81=21,J81,0)</f>
        <v>0</v>
      </c>
      <c r="AD81" s="30">
        <v>21</v>
      </c>
      <c r="AE81" s="30">
        <f>G81*1</f>
        <v>0</v>
      </c>
      <c r="AF81" s="30">
        <f>G81*(1-1)</f>
        <v>0</v>
      </c>
    </row>
    <row r="82" spans="1:32" ht="12.75">
      <c r="A82" s="10" t="s">
        <v>64</v>
      </c>
      <c r="B82" s="10" t="s">
        <v>258</v>
      </c>
      <c r="C82" s="10" t="s">
        <v>322</v>
      </c>
      <c r="D82" s="10" t="s">
        <v>489</v>
      </c>
      <c r="E82" s="10" t="s">
        <v>620</v>
      </c>
      <c r="F82" s="30">
        <v>5.51</v>
      </c>
      <c r="H82" s="30">
        <f>ROUND(F82*AE82,2)</f>
        <v>0</v>
      </c>
      <c r="I82" s="30">
        <f>J82-H82</f>
        <v>0</v>
      </c>
      <c r="J82" s="30">
        <f>ROUND(F82*G82,2)</f>
        <v>0</v>
      </c>
      <c r="K82" s="30">
        <v>1</v>
      </c>
      <c r="L82" s="30">
        <f>F82*K82</f>
        <v>5.51</v>
      </c>
      <c r="N82" s="50" t="s">
        <v>266</v>
      </c>
      <c r="O82" s="30">
        <f>IF(N82="5",I82,0)</f>
        <v>0</v>
      </c>
      <c r="Z82" s="30">
        <f>IF(AD82=0,J82,0)</f>
        <v>0</v>
      </c>
      <c r="AA82" s="30">
        <f>IF(AD82=15,J82,0)</f>
        <v>0</v>
      </c>
      <c r="AB82" s="30">
        <f>IF(AD82=21,J82,0)</f>
        <v>0</v>
      </c>
      <c r="AD82" s="30">
        <v>21</v>
      </c>
      <c r="AE82" s="30">
        <f>G82*1</f>
        <v>0</v>
      </c>
      <c r="AF82" s="30">
        <f>G82*(1-1)</f>
        <v>0</v>
      </c>
    </row>
    <row r="83" spans="1:32" ht="12.75">
      <c r="A83" s="10" t="s">
        <v>65</v>
      </c>
      <c r="B83" s="10" t="s">
        <v>258</v>
      </c>
      <c r="C83" s="10" t="s">
        <v>323</v>
      </c>
      <c r="D83" s="10" t="s">
        <v>490</v>
      </c>
      <c r="E83" s="10" t="s">
        <v>614</v>
      </c>
      <c r="F83" s="30">
        <v>56.61</v>
      </c>
      <c r="H83" s="30">
        <f>ROUND(F83*AE83,2)</f>
        <v>0</v>
      </c>
      <c r="I83" s="30">
        <f>J83-H83</f>
        <v>0</v>
      </c>
      <c r="J83" s="30">
        <f>ROUND(F83*G83,2)</f>
        <v>0</v>
      </c>
      <c r="K83" s="30">
        <v>0</v>
      </c>
      <c r="L83" s="30">
        <f>F83*K83</f>
        <v>0</v>
      </c>
      <c r="N83" s="50" t="s">
        <v>11</v>
      </c>
      <c r="O83" s="30">
        <f>IF(N83="5",I83,0)</f>
        <v>0</v>
      </c>
      <c r="Z83" s="30">
        <f>IF(AD83=0,J83,0)</f>
        <v>0</v>
      </c>
      <c r="AA83" s="30">
        <f>IF(AD83=15,J83,0)</f>
        <v>0</v>
      </c>
      <c r="AB83" s="30">
        <f>IF(AD83=21,J83,0)</f>
        <v>0</v>
      </c>
      <c r="AD83" s="30">
        <v>21</v>
      </c>
      <c r="AE83" s="30">
        <f>G83*0</f>
        <v>0</v>
      </c>
      <c r="AF83" s="30">
        <f>G83*(1-0)</f>
        <v>0</v>
      </c>
    </row>
    <row r="84" spans="1:32" ht="12.75">
      <c r="A84" s="10" t="s">
        <v>66</v>
      </c>
      <c r="B84" s="10" t="s">
        <v>258</v>
      </c>
      <c r="C84" s="10" t="s">
        <v>324</v>
      </c>
      <c r="D84" s="10" t="s">
        <v>491</v>
      </c>
      <c r="E84" s="10" t="s">
        <v>614</v>
      </c>
      <c r="F84" s="30">
        <v>566.1</v>
      </c>
      <c r="H84" s="30">
        <f>ROUND(F84*AE84,2)</f>
        <v>0</v>
      </c>
      <c r="I84" s="30">
        <f>J84-H84</f>
        <v>0</v>
      </c>
      <c r="J84" s="30">
        <f>ROUND(F84*G84,2)</f>
        <v>0</v>
      </c>
      <c r="K84" s="30">
        <v>0</v>
      </c>
      <c r="L84" s="30">
        <f>F84*K84</f>
        <v>0</v>
      </c>
      <c r="N84" s="50" t="s">
        <v>11</v>
      </c>
      <c r="O84" s="30">
        <f>IF(N84="5",I84,0)</f>
        <v>0</v>
      </c>
      <c r="Z84" s="30">
        <f>IF(AD84=0,J84,0)</f>
        <v>0</v>
      </c>
      <c r="AA84" s="30">
        <f>IF(AD84=15,J84,0)</f>
        <v>0</v>
      </c>
      <c r="AB84" s="30">
        <f>IF(AD84=21,J84,0)</f>
        <v>0</v>
      </c>
      <c r="AD84" s="30">
        <v>21</v>
      </c>
      <c r="AE84" s="30">
        <f>G84*0</f>
        <v>0</v>
      </c>
      <c r="AF84" s="30">
        <f>G84*(1-0)</f>
        <v>0</v>
      </c>
    </row>
    <row r="85" spans="1:12" ht="12.75">
      <c r="A85" s="9"/>
      <c r="B85" s="9"/>
      <c r="C85" s="20"/>
      <c r="D85" s="25" t="s">
        <v>492</v>
      </c>
      <c r="E85" s="28"/>
      <c r="F85" s="28"/>
      <c r="G85" s="28"/>
      <c r="H85" s="52">
        <f>H86+H89+H97+H103+H108+H114</f>
        <v>0</v>
      </c>
      <c r="I85" s="52">
        <f>I86+I89+I97+I103+I108+I114</f>
        <v>0</v>
      </c>
      <c r="J85" s="52">
        <f>H85+I85</f>
        <v>0</v>
      </c>
      <c r="K85" s="44"/>
      <c r="L85" s="52">
        <f>L86+L89+L97+L103+L108+L114</f>
        <v>173.9759172</v>
      </c>
    </row>
    <row r="86" spans="1:37" ht="12.75">
      <c r="A86" s="9"/>
      <c r="B86" s="9"/>
      <c r="C86" s="20" t="s">
        <v>266</v>
      </c>
      <c r="D86" s="25" t="s">
        <v>424</v>
      </c>
      <c r="E86" s="28"/>
      <c r="F86" s="28"/>
      <c r="G86" s="28"/>
      <c r="H86" s="52">
        <f>SUM(H87:H88)</f>
        <v>0</v>
      </c>
      <c r="I86" s="52">
        <f>SUM(I87:I88)</f>
        <v>0</v>
      </c>
      <c r="J86" s="52">
        <f>H86+I86</f>
        <v>0</v>
      </c>
      <c r="K86" s="44"/>
      <c r="L86" s="52">
        <f>SUM(L87:L88)</f>
        <v>0</v>
      </c>
      <c r="P86" s="52">
        <f>IF(Q86="PR",J86,SUM(O87:O88))</f>
        <v>0</v>
      </c>
      <c r="Q86" s="44" t="s">
        <v>641</v>
      </c>
      <c r="R86" s="52">
        <f>IF(Q86="HS",H86,0)</f>
        <v>0</v>
      </c>
      <c r="S86" s="52">
        <f>IF(Q86="HS",I86-P86,0)</f>
        <v>0</v>
      </c>
      <c r="T86" s="52">
        <f>IF(Q86="PS",H86,0)</f>
        <v>0</v>
      </c>
      <c r="U86" s="52">
        <f>IF(Q86="PS",I86-P86,0)</f>
        <v>0</v>
      </c>
      <c r="V86" s="52">
        <f>IF(Q86="MP",H86,0)</f>
        <v>0</v>
      </c>
      <c r="W86" s="52">
        <f>IF(Q86="MP",I86-P86,0)</f>
        <v>0</v>
      </c>
      <c r="X86" s="52">
        <f>IF(Q86="OM",H86,0)</f>
        <v>0</v>
      </c>
      <c r="Y86" s="44" t="s">
        <v>259</v>
      </c>
      <c r="AI86" s="52">
        <f>SUM(Z87:Z88)</f>
        <v>0</v>
      </c>
      <c r="AJ86" s="52">
        <f>SUM(AA87:AA88)</f>
        <v>0</v>
      </c>
      <c r="AK86" s="52">
        <f>SUM(AB87:AB88)</f>
        <v>0</v>
      </c>
    </row>
    <row r="87" spans="1:32" ht="12.75">
      <c r="A87" s="10" t="s">
        <v>67</v>
      </c>
      <c r="B87" s="10" t="s">
        <v>259</v>
      </c>
      <c r="C87" s="10" t="s">
        <v>267</v>
      </c>
      <c r="D87" s="10" t="s">
        <v>493</v>
      </c>
      <c r="E87" s="10" t="s">
        <v>611</v>
      </c>
      <c r="F87" s="30">
        <v>1</v>
      </c>
      <c r="H87" s="30">
        <f>ROUND(F87*AE87,2)</f>
        <v>0</v>
      </c>
      <c r="I87" s="30">
        <f>J87-H87</f>
        <v>0</v>
      </c>
      <c r="J87" s="30">
        <f>ROUND(F87*G87,2)</f>
        <v>0</v>
      </c>
      <c r="K87" s="30">
        <v>0</v>
      </c>
      <c r="L87" s="30">
        <f>F87*K87</f>
        <v>0</v>
      </c>
      <c r="N87" s="50" t="s">
        <v>7</v>
      </c>
      <c r="O87" s="30">
        <f>IF(N87="5",I87,0)</f>
        <v>0</v>
      </c>
      <c r="Z87" s="30">
        <f>IF(AD87=0,J87,0)</f>
        <v>0</v>
      </c>
      <c r="AA87" s="30">
        <f>IF(AD87=15,J87,0)</f>
        <v>0</v>
      </c>
      <c r="AB87" s="30">
        <f>IF(AD87=21,J87,0)</f>
        <v>0</v>
      </c>
      <c r="AD87" s="30">
        <v>21</v>
      </c>
      <c r="AE87" s="30">
        <f>G87*0</f>
        <v>0</v>
      </c>
      <c r="AF87" s="30">
        <f>G87*(1-0)</f>
        <v>0</v>
      </c>
    </row>
    <row r="88" spans="1:32" ht="12.75">
      <c r="A88" s="10" t="s">
        <v>68</v>
      </c>
      <c r="B88" s="10" t="s">
        <v>259</v>
      </c>
      <c r="C88" s="10" t="s">
        <v>325</v>
      </c>
      <c r="D88" s="10" t="s">
        <v>494</v>
      </c>
      <c r="E88" s="10" t="s">
        <v>618</v>
      </c>
      <c r="F88" s="30">
        <v>1</v>
      </c>
      <c r="H88" s="30">
        <f>ROUND(F88*AE88,2)</f>
        <v>0</v>
      </c>
      <c r="I88" s="30">
        <f>J88-H88</f>
        <v>0</v>
      </c>
      <c r="J88" s="30">
        <f>ROUND(F88*G88,2)</f>
        <v>0</v>
      </c>
      <c r="K88" s="30">
        <v>0</v>
      </c>
      <c r="L88" s="30">
        <f>F88*K88</f>
        <v>0</v>
      </c>
      <c r="N88" s="50" t="s">
        <v>7</v>
      </c>
      <c r="O88" s="30">
        <f>IF(N88="5",I88,0)</f>
        <v>0</v>
      </c>
      <c r="Z88" s="30">
        <f>IF(AD88=0,J88,0)</f>
        <v>0</v>
      </c>
      <c r="AA88" s="30">
        <f>IF(AD88=15,J88,0)</f>
        <v>0</v>
      </c>
      <c r="AB88" s="30">
        <f>IF(AD88=21,J88,0)</f>
        <v>0</v>
      </c>
      <c r="AD88" s="30">
        <v>21</v>
      </c>
      <c r="AE88" s="30">
        <f>G88*0</f>
        <v>0</v>
      </c>
      <c r="AF88" s="30">
        <f>G88*(1-0)</f>
        <v>0</v>
      </c>
    </row>
    <row r="89" spans="1:37" ht="12.75">
      <c r="A89" s="9"/>
      <c r="B89" s="9"/>
      <c r="C89" s="20" t="s">
        <v>18</v>
      </c>
      <c r="D89" s="25" t="s">
        <v>436</v>
      </c>
      <c r="E89" s="28"/>
      <c r="F89" s="28"/>
      <c r="G89" s="28"/>
      <c r="H89" s="52">
        <f>SUM(H90:H96)</f>
        <v>0</v>
      </c>
      <c r="I89" s="52">
        <f>SUM(I90:I96)</f>
        <v>0</v>
      </c>
      <c r="J89" s="52">
        <f>H89+I89</f>
        <v>0</v>
      </c>
      <c r="K89" s="44"/>
      <c r="L89" s="52">
        <f>SUM(L90:L96)</f>
        <v>0</v>
      </c>
      <c r="P89" s="52">
        <f>IF(Q89="PR",J89,SUM(O90:O96))</f>
        <v>0</v>
      </c>
      <c r="Q89" s="44" t="s">
        <v>641</v>
      </c>
      <c r="R89" s="52">
        <f>IF(Q89="HS",H89,0)</f>
        <v>0</v>
      </c>
      <c r="S89" s="52">
        <f>IF(Q89="HS",I89-P89,0)</f>
        <v>0</v>
      </c>
      <c r="T89" s="52">
        <f>IF(Q89="PS",H89,0)</f>
        <v>0</v>
      </c>
      <c r="U89" s="52">
        <f>IF(Q89="PS",I89-P89,0)</f>
        <v>0</v>
      </c>
      <c r="V89" s="52">
        <f>IF(Q89="MP",H89,0)</f>
        <v>0</v>
      </c>
      <c r="W89" s="52">
        <f>IF(Q89="MP",I89-P89,0)</f>
        <v>0</v>
      </c>
      <c r="X89" s="52">
        <f>IF(Q89="OM",H89,0)</f>
        <v>0</v>
      </c>
      <c r="Y89" s="44" t="s">
        <v>259</v>
      </c>
      <c r="AI89" s="52">
        <f>SUM(Z90:Z96)</f>
        <v>0</v>
      </c>
      <c r="AJ89" s="52">
        <f>SUM(AA90:AA96)</f>
        <v>0</v>
      </c>
      <c r="AK89" s="52">
        <f>SUM(AB90:AB96)</f>
        <v>0</v>
      </c>
    </row>
    <row r="90" spans="1:32" ht="12.75">
      <c r="A90" s="10" t="s">
        <v>69</v>
      </c>
      <c r="B90" s="10" t="s">
        <v>259</v>
      </c>
      <c r="C90" s="10" t="s">
        <v>277</v>
      </c>
      <c r="D90" s="10" t="s">
        <v>437</v>
      </c>
      <c r="E90" s="10" t="s">
        <v>615</v>
      </c>
      <c r="F90" s="30">
        <v>26.42</v>
      </c>
      <c r="H90" s="30">
        <f aca="true" t="shared" si="42" ref="H90:H96">ROUND(F90*AE90,2)</f>
        <v>0</v>
      </c>
      <c r="I90" s="30">
        <f aca="true" t="shared" si="43" ref="I90:I96">J90-H90</f>
        <v>0</v>
      </c>
      <c r="J90" s="30">
        <f aca="true" t="shared" si="44" ref="J90:J96">ROUND(F90*G90,2)</f>
        <v>0</v>
      </c>
      <c r="K90" s="30">
        <v>0</v>
      </c>
      <c r="L90" s="30">
        <f aca="true" t="shared" si="45" ref="L90:L96">F90*K90</f>
        <v>0</v>
      </c>
      <c r="N90" s="50" t="s">
        <v>7</v>
      </c>
      <c r="O90" s="30">
        <f aca="true" t="shared" si="46" ref="O90:O96">IF(N90="5",I90,0)</f>
        <v>0</v>
      </c>
      <c r="Z90" s="30">
        <f aca="true" t="shared" si="47" ref="Z90:Z96">IF(AD90=0,J90,0)</f>
        <v>0</v>
      </c>
      <c r="AA90" s="30">
        <f aca="true" t="shared" si="48" ref="AA90:AA96">IF(AD90=15,J90,0)</f>
        <v>0</v>
      </c>
      <c r="AB90" s="30">
        <f aca="true" t="shared" si="49" ref="AB90:AB96">IF(AD90=21,J90,0)</f>
        <v>0</v>
      </c>
      <c r="AD90" s="30">
        <v>21</v>
      </c>
      <c r="AE90" s="30">
        <f aca="true" t="shared" si="50" ref="AE90:AE96">G90*0</f>
        <v>0</v>
      </c>
      <c r="AF90" s="30">
        <f aca="true" t="shared" si="51" ref="AF90:AF96">G90*(1-0)</f>
        <v>0</v>
      </c>
    </row>
    <row r="91" spans="1:32" ht="12.75">
      <c r="A91" s="10" t="s">
        <v>70</v>
      </c>
      <c r="B91" s="10" t="s">
        <v>259</v>
      </c>
      <c r="C91" s="10" t="s">
        <v>326</v>
      </c>
      <c r="D91" s="10" t="s">
        <v>495</v>
      </c>
      <c r="E91" s="10" t="s">
        <v>615</v>
      </c>
      <c r="F91" s="30">
        <v>26.42</v>
      </c>
      <c r="H91" s="30">
        <f t="shared" si="42"/>
        <v>0</v>
      </c>
      <c r="I91" s="30">
        <f t="shared" si="43"/>
        <v>0</v>
      </c>
      <c r="J91" s="30">
        <f t="shared" si="44"/>
        <v>0</v>
      </c>
      <c r="K91" s="30">
        <v>0</v>
      </c>
      <c r="L91" s="30">
        <f t="shared" si="45"/>
        <v>0</v>
      </c>
      <c r="N91" s="50" t="s">
        <v>7</v>
      </c>
      <c r="O91" s="30">
        <f t="shared" si="46"/>
        <v>0</v>
      </c>
      <c r="Z91" s="30">
        <f t="shared" si="47"/>
        <v>0</v>
      </c>
      <c r="AA91" s="30">
        <f t="shared" si="48"/>
        <v>0</v>
      </c>
      <c r="AB91" s="30">
        <f t="shared" si="49"/>
        <v>0</v>
      </c>
      <c r="AD91" s="30">
        <v>21</v>
      </c>
      <c r="AE91" s="30">
        <f t="shared" si="50"/>
        <v>0</v>
      </c>
      <c r="AF91" s="30">
        <f t="shared" si="51"/>
        <v>0</v>
      </c>
    </row>
    <row r="92" spans="1:32" ht="12.75">
      <c r="A92" s="10" t="s">
        <v>71</v>
      </c>
      <c r="B92" s="10" t="s">
        <v>259</v>
      </c>
      <c r="C92" s="10" t="s">
        <v>327</v>
      </c>
      <c r="D92" s="10" t="s">
        <v>496</v>
      </c>
      <c r="E92" s="10" t="s">
        <v>614</v>
      </c>
      <c r="F92" s="30">
        <v>68.69</v>
      </c>
      <c r="H92" s="30">
        <f t="shared" si="42"/>
        <v>0</v>
      </c>
      <c r="I92" s="30">
        <f t="shared" si="43"/>
        <v>0</v>
      </c>
      <c r="J92" s="30">
        <f t="shared" si="44"/>
        <v>0</v>
      </c>
      <c r="K92" s="30">
        <v>0</v>
      </c>
      <c r="L92" s="30">
        <f t="shared" si="45"/>
        <v>0</v>
      </c>
      <c r="N92" s="50" t="s">
        <v>11</v>
      </c>
      <c r="O92" s="30">
        <f t="shared" si="46"/>
        <v>0</v>
      </c>
      <c r="Z92" s="30">
        <f t="shared" si="47"/>
        <v>0</v>
      </c>
      <c r="AA92" s="30">
        <f t="shared" si="48"/>
        <v>0</v>
      </c>
      <c r="AB92" s="30">
        <f t="shared" si="49"/>
        <v>0</v>
      </c>
      <c r="AD92" s="30">
        <v>21</v>
      </c>
      <c r="AE92" s="30">
        <f t="shared" si="50"/>
        <v>0</v>
      </c>
      <c r="AF92" s="30">
        <f t="shared" si="51"/>
        <v>0</v>
      </c>
    </row>
    <row r="93" spans="1:32" ht="12.75">
      <c r="A93" s="10" t="s">
        <v>72</v>
      </c>
      <c r="B93" s="10" t="s">
        <v>259</v>
      </c>
      <c r="C93" s="10" t="s">
        <v>328</v>
      </c>
      <c r="D93" s="10" t="s">
        <v>497</v>
      </c>
      <c r="E93" s="10" t="s">
        <v>614</v>
      </c>
      <c r="F93" s="30">
        <v>1717.25</v>
      </c>
      <c r="H93" s="30">
        <f t="shared" si="42"/>
        <v>0</v>
      </c>
      <c r="I93" s="30">
        <f t="shared" si="43"/>
        <v>0</v>
      </c>
      <c r="J93" s="30">
        <f t="shared" si="44"/>
        <v>0</v>
      </c>
      <c r="K93" s="30">
        <v>0</v>
      </c>
      <c r="L93" s="30">
        <f t="shared" si="45"/>
        <v>0</v>
      </c>
      <c r="N93" s="50" t="s">
        <v>11</v>
      </c>
      <c r="O93" s="30">
        <f t="shared" si="46"/>
        <v>0</v>
      </c>
      <c r="Z93" s="30">
        <f t="shared" si="47"/>
        <v>0</v>
      </c>
      <c r="AA93" s="30">
        <f t="shared" si="48"/>
        <v>0</v>
      </c>
      <c r="AB93" s="30">
        <f t="shared" si="49"/>
        <v>0</v>
      </c>
      <c r="AD93" s="30">
        <v>21</v>
      </c>
      <c r="AE93" s="30">
        <f t="shared" si="50"/>
        <v>0</v>
      </c>
      <c r="AF93" s="30">
        <f t="shared" si="51"/>
        <v>0</v>
      </c>
    </row>
    <row r="94" spans="1:32" ht="12.75">
      <c r="A94" s="10" t="s">
        <v>73</v>
      </c>
      <c r="B94" s="10" t="s">
        <v>259</v>
      </c>
      <c r="C94" s="10" t="s">
        <v>277</v>
      </c>
      <c r="D94" s="10" t="s">
        <v>437</v>
      </c>
      <c r="E94" s="10" t="s">
        <v>615</v>
      </c>
      <c r="F94" s="30">
        <v>8.26</v>
      </c>
      <c r="H94" s="30">
        <f t="shared" si="42"/>
        <v>0</v>
      </c>
      <c r="I94" s="30">
        <f t="shared" si="43"/>
        <v>0</v>
      </c>
      <c r="J94" s="30">
        <f t="shared" si="44"/>
        <v>0</v>
      </c>
      <c r="K94" s="30">
        <v>0</v>
      </c>
      <c r="L94" s="30">
        <f t="shared" si="45"/>
        <v>0</v>
      </c>
      <c r="N94" s="50" t="s">
        <v>7</v>
      </c>
      <c r="O94" s="30">
        <f t="shared" si="46"/>
        <v>0</v>
      </c>
      <c r="Z94" s="30">
        <f t="shared" si="47"/>
        <v>0</v>
      </c>
      <c r="AA94" s="30">
        <f t="shared" si="48"/>
        <v>0</v>
      </c>
      <c r="AB94" s="30">
        <f t="shared" si="49"/>
        <v>0</v>
      </c>
      <c r="AD94" s="30">
        <v>21</v>
      </c>
      <c r="AE94" s="30">
        <f t="shared" si="50"/>
        <v>0</v>
      </c>
      <c r="AF94" s="30">
        <f t="shared" si="51"/>
        <v>0</v>
      </c>
    </row>
    <row r="95" spans="1:32" ht="12.75">
      <c r="A95" s="10" t="s">
        <v>74</v>
      </c>
      <c r="B95" s="10" t="s">
        <v>259</v>
      </c>
      <c r="C95" s="10" t="s">
        <v>278</v>
      </c>
      <c r="D95" s="10" t="s">
        <v>438</v>
      </c>
      <c r="E95" s="10" t="s">
        <v>615</v>
      </c>
      <c r="F95" s="30">
        <v>8.26</v>
      </c>
      <c r="H95" s="30">
        <f t="shared" si="42"/>
        <v>0</v>
      </c>
      <c r="I95" s="30">
        <f t="shared" si="43"/>
        <v>0</v>
      </c>
      <c r="J95" s="30">
        <f t="shared" si="44"/>
        <v>0</v>
      </c>
      <c r="K95" s="30">
        <v>0</v>
      </c>
      <c r="L95" s="30">
        <f t="shared" si="45"/>
        <v>0</v>
      </c>
      <c r="N95" s="50" t="s">
        <v>7</v>
      </c>
      <c r="O95" s="30">
        <f t="shared" si="46"/>
        <v>0</v>
      </c>
      <c r="Z95" s="30">
        <f t="shared" si="47"/>
        <v>0</v>
      </c>
      <c r="AA95" s="30">
        <f t="shared" si="48"/>
        <v>0</v>
      </c>
      <c r="AB95" s="30">
        <f t="shared" si="49"/>
        <v>0</v>
      </c>
      <c r="AD95" s="30">
        <v>21</v>
      </c>
      <c r="AE95" s="30">
        <f t="shared" si="50"/>
        <v>0</v>
      </c>
      <c r="AF95" s="30">
        <f t="shared" si="51"/>
        <v>0</v>
      </c>
    </row>
    <row r="96" spans="1:32" ht="12.75">
      <c r="A96" s="10" t="s">
        <v>75</v>
      </c>
      <c r="B96" s="10" t="s">
        <v>259</v>
      </c>
      <c r="C96" s="10" t="s">
        <v>279</v>
      </c>
      <c r="D96" s="10" t="s">
        <v>439</v>
      </c>
      <c r="E96" s="10" t="s">
        <v>615</v>
      </c>
      <c r="F96" s="30">
        <v>8.26</v>
      </c>
      <c r="H96" s="30">
        <f t="shared" si="42"/>
        <v>0</v>
      </c>
      <c r="I96" s="30">
        <f t="shared" si="43"/>
        <v>0</v>
      </c>
      <c r="J96" s="30">
        <f t="shared" si="44"/>
        <v>0</v>
      </c>
      <c r="K96" s="30">
        <v>0</v>
      </c>
      <c r="L96" s="30">
        <f t="shared" si="45"/>
        <v>0</v>
      </c>
      <c r="N96" s="50" t="s">
        <v>7</v>
      </c>
      <c r="O96" s="30">
        <f t="shared" si="46"/>
        <v>0</v>
      </c>
      <c r="Z96" s="30">
        <f t="shared" si="47"/>
        <v>0</v>
      </c>
      <c r="AA96" s="30">
        <f t="shared" si="48"/>
        <v>0</v>
      </c>
      <c r="AB96" s="30">
        <f t="shared" si="49"/>
        <v>0</v>
      </c>
      <c r="AD96" s="30">
        <v>21</v>
      </c>
      <c r="AE96" s="30">
        <f t="shared" si="50"/>
        <v>0</v>
      </c>
      <c r="AF96" s="30">
        <f t="shared" si="51"/>
        <v>0</v>
      </c>
    </row>
    <row r="97" spans="1:37" ht="12.75">
      <c r="A97" s="9"/>
      <c r="B97" s="9"/>
      <c r="C97" s="20" t="s">
        <v>329</v>
      </c>
      <c r="D97" s="25" t="s">
        <v>498</v>
      </c>
      <c r="E97" s="28"/>
      <c r="F97" s="28"/>
      <c r="G97" s="28"/>
      <c r="H97" s="52">
        <f>SUM(H98:H102)</f>
        <v>0</v>
      </c>
      <c r="I97" s="52">
        <f>SUM(I98:I102)</f>
        <v>0</v>
      </c>
      <c r="J97" s="52">
        <f>H97+I97</f>
        <v>0</v>
      </c>
      <c r="K97" s="44"/>
      <c r="L97" s="52">
        <f>SUM(L98:L102)</f>
        <v>6.769312</v>
      </c>
      <c r="P97" s="52">
        <f>IF(Q97="PR",J97,SUM(O98:O102))</f>
        <v>0</v>
      </c>
      <c r="Q97" s="44" t="s">
        <v>641</v>
      </c>
      <c r="R97" s="52">
        <f>IF(Q97="HS",H97,0)</f>
        <v>0</v>
      </c>
      <c r="S97" s="52">
        <f>IF(Q97="HS",I97-P97,0)</f>
        <v>0</v>
      </c>
      <c r="T97" s="52">
        <f>IF(Q97="PS",H97,0)</f>
        <v>0</v>
      </c>
      <c r="U97" s="52">
        <f>IF(Q97="PS",I97-P97,0)</f>
        <v>0</v>
      </c>
      <c r="V97" s="52">
        <f>IF(Q97="MP",H97,0)</f>
        <v>0</v>
      </c>
      <c r="W97" s="52">
        <f>IF(Q97="MP",I97-P97,0)</f>
        <v>0</v>
      </c>
      <c r="X97" s="52">
        <f>IF(Q97="OM",H97,0)</f>
        <v>0</v>
      </c>
      <c r="Y97" s="44" t="s">
        <v>259</v>
      </c>
      <c r="AI97" s="52">
        <f>SUM(Z98:Z102)</f>
        <v>0</v>
      </c>
      <c r="AJ97" s="52">
        <f>SUM(AA98:AA102)</f>
        <v>0</v>
      </c>
      <c r="AK97" s="52">
        <f>SUM(AB98:AB102)</f>
        <v>0</v>
      </c>
    </row>
    <row r="98" spans="1:32" ht="12.75">
      <c r="A98" s="10" t="s">
        <v>76</v>
      </c>
      <c r="B98" s="10" t="s">
        <v>259</v>
      </c>
      <c r="C98" s="10" t="s">
        <v>330</v>
      </c>
      <c r="D98" s="10" t="s">
        <v>499</v>
      </c>
      <c r="E98" s="10" t="s">
        <v>611</v>
      </c>
      <c r="F98" s="30">
        <v>1</v>
      </c>
      <c r="H98" s="30">
        <f>ROUND(F98*AE98,2)</f>
        <v>0</v>
      </c>
      <c r="I98" s="30">
        <f>J98-H98</f>
        <v>0</v>
      </c>
      <c r="J98" s="30">
        <f>ROUND(F98*G98,2)</f>
        <v>0</v>
      </c>
      <c r="K98" s="30">
        <v>1.5</v>
      </c>
      <c r="L98" s="30">
        <f>F98*K98</f>
        <v>1.5</v>
      </c>
      <c r="N98" s="50" t="s">
        <v>7</v>
      </c>
      <c r="O98" s="30">
        <f>IF(N98="5",I98,0)</f>
        <v>0</v>
      </c>
      <c r="Z98" s="30">
        <f>IF(AD98=0,J98,0)</f>
        <v>0</v>
      </c>
      <c r="AA98" s="30">
        <f>IF(AD98=15,J98,0)</f>
        <v>0</v>
      </c>
      <c r="AB98" s="30">
        <f>IF(AD98=21,J98,0)</f>
        <v>0</v>
      </c>
      <c r="AD98" s="30">
        <v>21</v>
      </c>
      <c r="AE98" s="30">
        <f>G98*0</f>
        <v>0</v>
      </c>
      <c r="AF98" s="30">
        <f>G98*(1-0)</f>
        <v>0</v>
      </c>
    </row>
    <row r="99" spans="1:32" ht="12.75">
      <c r="A99" s="10" t="s">
        <v>77</v>
      </c>
      <c r="B99" s="10" t="s">
        <v>259</v>
      </c>
      <c r="C99" s="10" t="s">
        <v>331</v>
      </c>
      <c r="D99" s="10" t="s">
        <v>500</v>
      </c>
      <c r="E99" s="10" t="s">
        <v>615</v>
      </c>
      <c r="F99" s="30">
        <v>1.6</v>
      </c>
      <c r="H99" s="30">
        <f>ROUND(F99*AE99,2)</f>
        <v>0</v>
      </c>
      <c r="I99" s="30">
        <f>J99-H99</f>
        <v>0</v>
      </c>
      <c r="J99" s="30">
        <f>ROUND(F99*G99,2)</f>
        <v>0</v>
      </c>
      <c r="K99" s="30">
        <v>3.06748</v>
      </c>
      <c r="L99" s="30">
        <f>F99*K99</f>
        <v>4.907968</v>
      </c>
      <c r="N99" s="50" t="s">
        <v>7</v>
      </c>
      <c r="O99" s="30">
        <f>IF(N99="5",I99,0)</f>
        <v>0</v>
      </c>
      <c r="Z99" s="30">
        <f>IF(AD99=0,J99,0)</f>
        <v>0</v>
      </c>
      <c r="AA99" s="30">
        <f>IF(AD99=15,J99,0)</f>
        <v>0</v>
      </c>
      <c r="AB99" s="30">
        <f>IF(AD99=21,J99,0)</f>
        <v>0</v>
      </c>
      <c r="AD99" s="30">
        <v>21</v>
      </c>
      <c r="AE99" s="30">
        <f>G99*0.898914812170024</f>
        <v>0</v>
      </c>
      <c r="AF99" s="30">
        <f>G99*(1-0.898914812170024)</f>
        <v>0</v>
      </c>
    </row>
    <row r="100" spans="1:32" ht="12.75">
      <c r="A100" s="10" t="s">
        <v>78</v>
      </c>
      <c r="B100" s="10" t="s">
        <v>259</v>
      </c>
      <c r="C100" s="10" t="s">
        <v>332</v>
      </c>
      <c r="D100" s="10" t="s">
        <v>501</v>
      </c>
      <c r="E100" s="10" t="s">
        <v>612</v>
      </c>
      <c r="F100" s="30">
        <v>7.68</v>
      </c>
      <c r="H100" s="30">
        <f>ROUND(F100*AE100,2)</f>
        <v>0</v>
      </c>
      <c r="I100" s="30">
        <f>J100-H100</f>
        <v>0</v>
      </c>
      <c r="J100" s="30">
        <f>ROUND(F100*G100,2)</f>
        <v>0</v>
      </c>
      <c r="K100" s="30">
        <v>0</v>
      </c>
      <c r="L100" s="30">
        <f>F100*K100</f>
        <v>0</v>
      </c>
      <c r="N100" s="50" t="s">
        <v>7</v>
      </c>
      <c r="O100" s="30">
        <f>IF(N100="5",I100,0)</f>
        <v>0</v>
      </c>
      <c r="Z100" s="30">
        <f>IF(AD100=0,J100,0)</f>
        <v>0</v>
      </c>
      <c r="AA100" s="30">
        <f>IF(AD100=15,J100,0)</f>
        <v>0</v>
      </c>
      <c r="AB100" s="30">
        <f>IF(AD100=21,J100,0)</f>
        <v>0</v>
      </c>
      <c r="AD100" s="30">
        <v>21</v>
      </c>
      <c r="AE100" s="30">
        <f>G100*0</f>
        <v>0</v>
      </c>
      <c r="AF100" s="30">
        <f>G100*(1-0)</f>
        <v>0</v>
      </c>
    </row>
    <row r="101" spans="1:32" ht="12.75">
      <c r="A101" s="10" t="s">
        <v>79</v>
      </c>
      <c r="B101" s="10" t="s">
        <v>259</v>
      </c>
      <c r="C101" s="10" t="s">
        <v>333</v>
      </c>
      <c r="D101" s="10" t="s">
        <v>502</v>
      </c>
      <c r="E101" s="10" t="s">
        <v>612</v>
      </c>
      <c r="F101" s="30">
        <v>7.68</v>
      </c>
      <c r="H101" s="30">
        <f>ROUND(F101*AE101,2)</f>
        <v>0</v>
      </c>
      <c r="I101" s="30">
        <f>J101-H101</f>
        <v>0</v>
      </c>
      <c r="J101" s="30">
        <f>ROUND(F101*G101,2)</f>
        <v>0</v>
      </c>
      <c r="K101" s="30">
        <v>0.04705</v>
      </c>
      <c r="L101" s="30">
        <f>F101*K101</f>
        <v>0.361344</v>
      </c>
      <c r="N101" s="50" t="s">
        <v>7</v>
      </c>
      <c r="O101" s="30">
        <f>IF(N101="5",I101,0)</f>
        <v>0</v>
      </c>
      <c r="Z101" s="30">
        <f>IF(AD101=0,J101,0)</f>
        <v>0</v>
      </c>
      <c r="AA101" s="30">
        <f>IF(AD101=15,J101,0)</f>
        <v>0</v>
      </c>
      <c r="AB101" s="30">
        <f>IF(AD101=21,J101,0)</f>
        <v>0</v>
      </c>
      <c r="AD101" s="30">
        <v>21</v>
      </c>
      <c r="AE101" s="30">
        <f>G101*0.552215009679991</f>
        <v>0</v>
      </c>
      <c r="AF101" s="30">
        <f>G101*(1-0.552215009679991)</f>
        <v>0</v>
      </c>
    </row>
    <row r="102" spans="1:32" ht="12.75">
      <c r="A102" s="10" t="s">
        <v>80</v>
      </c>
      <c r="B102" s="10" t="s">
        <v>259</v>
      </c>
      <c r="C102" s="10" t="s">
        <v>334</v>
      </c>
      <c r="D102" s="10" t="s">
        <v>503</v>
      </c>
      <c r="E102" s="10" t="s">
        <v>615</v>
      </c>
      <c r="F102" s="30">
        <v>0.8</v>
      </c>
      <c r="H102" s="30">
        <f>ROUND(F102*AE102,2)</f>
        <v>0</v>
      </c>
      <c r="I102" s="30">
        <f>J102-H102</f>
        <v>0</v>
      </c>
      <c r="J102" s="30">
        <f>ROUND(F102*G102,2)</f>
        <v>0</v>
      </c>
      <c r="K102" s="30">
        <v>0</v>
      </c>
      <c r="L102" s="30">
        <f>F102*K102</f>
        <v>0</v>
      </c>
      <c r="N102" s="50" t="s">
        <v>7</v>
      </c>
      <c r="O102" s="30">
        <f>IF(N102="5",I102,0)</f>
        <v>0</v>
      </c>
      <c r="Z102" s="30">
        <f>IF(AD102=0,J102,0)</f>
        <v>0</v>
      </c>
      <c r="AA102" s="30">
        <f>IF(AD102=15,J102,0)</f>
        <v>0</v>
      </c>
      <c r="AB102" s="30">
        <f>IF(AD102=21,J102,0)</f>
        <v>0</v>
      </c>
      <c r="AD102" s="30">
        <v>21</v>
      </c>
      <c r="AE102" s="30">
        <f>G102*0</f>
        <v>0</v>
      </c>
      <c r="AF102" s="30">
        <f>G102*(1-0)</f>
        <v>0</v>
      </c>
    </row>
    <row r="103" spans="1:37" ht="12.75">
      <c r="A103" s="9"/>
      <c r="B103" s="9"/>
      <c r="C103" s="20" t="s">
        <v>24</v>
      </c>
      <c r="D103" s="25" t="s">
        <v>442</v>
      </c>
      <c r="E103" s="28"/>
      <c r="F103" s="28"/>
      <c r="G103" s="28"/>
      <c r="H103" s="52">
        <f>SUM(H104:H107)</f>
        <v>0</v>
      </c>
      <c r="I103" s="52">
        <f>SUM(I104:I107)</f>
        <v>0</v>
      </c>
      <c r="J103" s="52">
        <f>H103+I103</f>
        <v>0</v>
      </c>
      <c r="K103" s="44"/>
      <c r="L103" s="52">
        <f>SUM(L104:L107)</f>
        <v>0</v>
      </c>
      <c r="P103" s="52">
        <f>IF(Q103="PR",J103,SUM(O104:O107))</f>
        <v>0</v>
      </c>
      <c r="Q103" s="44" t="s">
        <v>641</v>
      </c>
      <c r="R103" s="52">
        <f>IF(Q103="HS",H103,0)</f>
        <v>0</v>
      </c>
      <c r="S103" s="52">
        <f>IF(Q103="HS",I103-P103,0)</f>
        <v>0</v>
      </c>
      <c r="T103" s="52">
        <f>IF(Q103="PS",H103,0)</f>
        <v>0</v>
      </c>
      <c r="U103" s="52">
        <f>IF(Q103="PS",I103-P103,0)</f>
        <v>0</v>
      </c>
      <c r="V103" s="52">
        <f>IF(Q103="MP",H103,0)</f>
        <v>0</v>
      </c>
      <c r="W103" s="52">
        <f>IF(Q103="MP",I103-P103,0)</f>
        <v>0</v>
      </c>
      <c r="X103" s="52">
        <f>IF(Q103="OM",H103,0)</f>
        <v>0</v>
      </c>
      <c r="Y103" s="44" t="s">
        <v>259</v>
      </c>
      <c r="AI103" s="52">
        <f>SUM(Z104:Z107)</f>
        <v>0</v>
      </c>
      <c r="AJ103" s="52">
        <f>SUM(AA104:AA107)</f>
        <v>0</v>
      </c>
      <c r="AK103" s="52">
        <f>SUM(AB104:AB107)</f>
        <v>0</v>
      </c>
    </row>
    <row r="104" spans="1:32" ht="12.75">
      <c r="A104" s="10" t="s">
        <v>81</v>
      </c>
      <c r="B104" s="10" t="s">
        <v>259</v>
      </c>
      <c r="C104" s="10" t="s">
        <v>282</v>
      </c>
      <c r="D104" s="10" t="s">
        <v>443</v>
      </c>
      <c r="E104" s="10" t="s">
        <v>612</v>
      </c>
      <c r="F104" s="30">
        <v>110.2</v>
      </c>
      <c r="H104" s="30">
        <f>ROUND(F104*AE104,2)</f>
        <v>0</v>
      </c>
      <c r="I104" s="30">
        <f>J104-H104</f>
        <v>0</v>
      </c>
      <c r="J104" s="30">
        <f>ROUND(F104*G104,2)</f>
        <v>0</v>
      </c>
      <c r="K104" s="30">
        <v>0</v>
      </c>
      <c r="L104" s="30">
        <f>F104*K104</f>
        <v>0</v>
      </c>
      <c r="N104" s="50" t="s">
        <v>7</v>
      </c>
      <c r="O104" s="30">
        <f>IF(N104="5",I104,0)</f>
        <v>0</v>
      </c>
      <c r="Z104" s="30">
        <f>IF(AD104=0,J104,0)</f>
        <v>0</v>
      </c>
      <c r="AA104" s="30">
        <f>IF(AD104=15,J104,0)</f>
        <v>0</v>
      </c>
      <c r="AB104" s="30">
        <f>IF(AD104=21,J104,0)</f>
        <v>0</v>
      </c>
      <c r="AD104" s="30">
        <v>21</v>
      </c>
      <c r="AE104" s="30">
        <f>G104*0</f>
        <v>0</v>
      </c>
      <c r="AF104" s="30">
        <f>G104*(1-0)</f>
        <v>0</v>
      </c>
    </row>
    <row r="105" spans="1:32" ht="12.75">
      <c r="A105" s="10" t="s">
        <v>82</v>
      </c>
      <c r="B105" s="10" t="s">
        <v>259</v>
      </c>
      <c r="C105" s="10" t="s">
        <v>284</v>
      </c>
      <c r="D105" s="10" t="s">
        <v>445</v>
      </c>
      <c r="E105" s="10" t="s">
        <v>612</v>
      </c>
      <c r="F105" s="30">
        <v>37.5</v>
      </c>
      <c r="H105" s="30">
        <f>ROUND(F105*AE105,2)</f>
        <v>0</v>
      </c>
      <c r="I105" s="30">
        <f>J105-H105</f>
        <v>0</v>
      </c>
      <c r="J105" s="30">
        <f>ROUND(F105*G105,2)</f>
        <v>0</v>
      </c>
      <c r="K105" s="30">
        <v>0</v>
      </c>
      <c r="L105" s="30">
        <f>F105*K105</f>
        <v>0</v>
      </c>
      <c r="N105" s="50" t="s">
        <v>7</v>
      </c>
      <c r="O105" s="30">
        <f>IF(N105="5",I105,0)</f>
        <v>0</v>
      </c>
      <c r="Z105" s="30">
        <f>IF(AD105=0,J105,0)</f>
        <v>0</v>
      </c>
      <c r="AA105" s="30">
        <f>IF(AD105=15,J105,0)</f>
        <v>0</v>
      </c>
      <c r="AB105" s="30">
        <f>IF(AD105=21,J105,0)</f>
        <v>0</v>
      </c>
      <c r="AD105" s="30">
        <v>21</v>
      </c>
      <c r="AE105" s="30">
        <f>G105*0</f>
        <v>0</v>
      </c>
      <c r="AF105" s="30">
        <f>G105*(1-0)</f>
        <v>0</v>
      </c>
    </row>
    <row r="106" spans="1:32" ht="12.75">
      <c r="A106" s="10" t="s">
        <v>83</v>
      </c>
      <c r="B106" s="10" t="s">
        <v>259</v>
      </c>
      <c r="C106" s="10" t="s">
        <v>285</v>
      </c>
      <c r="D106" s="10" t="s">
        <v>446</v>
      </c>
      <c r="E106" s="10" t="s">
        <v>615</v>
      </c>
      <c r="F106" s="30">
        <v>13.8</v>
      </c>
      <c r="H106" s="30">
        <f>ROUND(F106*AE106,2)</f>
        <v>0</v>
      </c>
      <c r="I106" s="30">
        <f>J106-H106</f>
        <v>0</v>
      </c>
      <c r="J106" s="30">
        <f>ROUND(F106*G106,2)</f>
        <v>0</v>
      </c>
      <c r="K106" s="30">
        <v>0</v>
      </c>
      <c r="L106" s="30">
        <f>F106*K106</f>
        <v>0</v>
      </c>
      <c r="N106" s="50" t="s">
        <v>8</v>
      </c>
      <c r="O106" s="30">
        <f>IF(N106="5",I106,0)</f>
        <v>0</v>
      </c>
      <c r="Z106" s="30">
        <f>IF(AD106=0,J106,0)</f>
        <v>0</v>
      </c>
      <c r="AA106" s="30">
        <f>IF(AD106=15,J106,0)</f>
        <v>0</v>
      </c>
      <c r="AB106" s="30">
        <f>IF(AD106=21,J106,0)</f>
        <v>0</v>
      </c>
      <c r="AD106" s="30">
        <v>21</v>
      </c>
      <c r="AE106" s="30">
        <f>G106*0</f>
        <v>0</v>
      </c>
      <c r="AF106" s="30">
        <f>G106*(1-0)</f>
        <v>0</v>
      </c>
    </row>
    <row r="107" spans="1:32" ht="12.75">
      <c r="A107" s="10" t="s">
        <v>84</v>
      </c>
      <c r="B107" s="10" t="s">
        <v>259</v>
      </c>
      <c r="C107" s="10" t="s">
        <v>286</v>
      </c>
      <c r="D107" s="10" t="s">
        <v>447</v>
      </c>
      <c r="E107" s="10" t="s">
        <v>615</v>
      </c>
      <c r="F107" s="30">
        <v>10.3</v>
      </c>
      <c r="H107" s="30">
        <f>ROUND(F107*AE107,2)</f>
        <v>0</v>
      </c>
      <c r="I107" s="30">
        <f>J107-H107</f>
        <v>0</v>
      </c>
      <c r="J107" s="30">
        <f>ROUND(F107*G107,2)</f>
        <v>0</v>
      </c>
      <c r="K107" s="30">
        <v>0</v>
      </c>
      <c r="L107" s="30">
        <f>F107*K107</f>
        <v>0</v>
      </c>
      <c r="N107" s="50" t="s">
        <v>8</v>
      </c>
      <c r="O107" s="30">
        <f>IF(N107="5",I107,0)</f>
        <v>0</v>
      </c>
      <c r="Z107" s="30">
        <f>IF(AD107=0,J107,0)</f>
        <v>0</v>
      </c>
      <c r="AA107" s="30">
        <f>IF(AD107=15,J107,0)</f>
        <v>0</v>
      </c>
      <c r="AB107" s="30">
        <f>IF(AD107=21,J107,0)</f>
        <v>0</v>
      </c>
      <c r="AD107" s="30">
        <v>21</v>
      </c>
      <c r="AE107" s="30">
        <f>G107*0</f>
        <v>0</v>
      </c>
      <c r="AF107" s="30">
        <f>G107*(1-0)</f>
        <v>0</v>
      </c>
    </row>
    <row r="108" spans="1:37" ht="12.75">
      <c r="A108" s="9"/>
      <c r="B108" s="9"/>
      <c r="C108" s="20" t="s">
        <v>49</v>
      </c>
      <c r="D108" s="25" t="s">
        <v>504</v>
      </c>
      <c r="E108" s="28"/>
      <c r="F108" s="28"/>
      <c r="G108" s="28"/>
      <c r="H108" s="52">
        <f>SUM(H109:H113)</f>
        <v>0</v>
      </c>
      <c r="I108" s="52">
        <f>SUM(I109:I113)</f>
        <v>0</v>
      </c>
      <c r="J108" s="52">
        <f>H108+I108</f>
        <v>0</v>
      </c>
      <c r="K108" s="44"/>
      <c r="L108" s="52">
        <f>SUM(L109:L113)</f>
        <v>7.5745792</v>
      </c>
      <c r="P108" s="52">
        <f>IF(Q108="PR",J108,SUM(O109:O113))</f>
        <v>0</v>
      </c>
      <c r="Q108" s="44" t="s">
        <v>641</v>
      </c>
      <c r="R108" s="52">
        <f>IF(Q108="HS",H108,0)</f>
        <v>0</v>
      </c>
      <c r="S108" s="52">
        <f>IF(Q108="HS",I108-P108,0)</f>
        <v>0</v>
      </c>
      <c r="T108" s="52">
        <f>IF(Q108="PS",H108,0)</f>
        <v>0</v>
      </c>
      <c r="U108" s="52">
        <f>IF(Q108="PS",I108-P108,0)</f>
        <v>0</v>
      </c>
      <c r="V108" s="52">
        <f>IF(Q108="MP",H108,0)</f>
        <v>0</v>
      </c>
      <c r="W108" s="52">
        <f>IF(Q108="MP",I108-P108,0)</f>
        <v>0</v>
      </c>
      <c r="X108" s="52">
        <f>IF(Q108="OM",H108,0)</f>
        <v>0</v>
      </c>
      <c r="Y108" s="44" t="s">
        <v>259</v>
      </c>
      <c r="AI108" s="52">
        <f>SUM(Z109:Z113)</f>
        <v>0</v>
      </c>
      <c r="AJ108" s="52">
        <f>SUM(AA109:AA113)</f>
        <v>0</v>
      </c>
      <c r="AK108" s="52">
        <f>SUM(AB109:AB113)</f>
        <v>0</v>
      </c>
    </row>
    <row r="109" spans="1:32" ht="12.75">
      <c r="A109" s="10" t="s">
        <v>85</v>
      </c>
      <c r="B109" s="10" t="s">
        <v>259</v>
      </c>
      <c r="C109" s="10" t="s">
        <v>335</v>
      </c>
      <c r="D109" s="10" t="s">
        <v>505</v>
      </c>
      <c r="E109" s="10" t="s">
        <v>615</v>
      </c>
      <c r="F109" s="30">
        <v>1.23</v>
      </c>
      <c r="H109" s="30">
        <f>ROUND(F109*AE109,2)</f>
        <v>0</v>
      </c>
      <c r="I109" s="30">
        <f>J109-H109</f>
        <v>0</v>
      </c>
      <c r="J109" s="30">
        <f>ROUND(F109*G109,2)</f>
        <v>0</v>
      </c>
      <c r="K109" s="30">
        <v>0</v>
      </c>
      <c r="L109" s="30">
        <f>F109*K109</f>
        <v>0</v>
      </c>
      <c r="N109" s="50" t="s">
        <v>9</v>
      </c>
      <c r="O109" s="30">
        <f>IF(N109="5",I109,0)</f>
        <v>0</v>
      </c>
      <c r="Z109" s="30">
        <f>IF(AD109=0,J109,0)</f>
        <v>0</v>
      </c>
      <c r="AA109" s="30">
        <f>IF(AD109=15,J109,0)</f>
        <v>0</v>
      </c>
      <c r="AB109" s="30">
        <f>IF(AD109=21,J109,0)</f>
        <v>0</v>
      </c>
      <c r="AD109" s="30">
        <v>21</v>
      </c>
      <c r="AE109" s="30">
        <f>G109*0</f>
        <v>0</v>
      </c>
      <c r="AF109" s="30">
        <f>G109*(1-0)</f>
        <v>0</v>
      </c>
    </row>
    <row r="110" spans="1:32" ht="12.75">
      <c r="A110" s="10" t="s">
        <v>86</v>
      </c>
      <c r="B110" s="10" t="s">
        <v>259</v>
      </c>
      <c r="C110" s="10" t="s">
        <v>336</v>
      </c>
      <c r="D110" s="10" t="s">
        <v>506</v>
      </c>
      <c r="E110" s="10" t="s">
        <v>615</v>
      </c>
      <c r="F110" s="30">
        <v>2.08</v>
      </c>
      <c r="H110" s="30">
        <f>ROUND(F110*AE110,2)</f>
        <v>0</v>
      </c>
      <c r="I110" s="30">
        <f>J110-H110</f>
        <v>0</v>
      </c>
      <c r="J110" s="30">
        <f>ROUND(F110*G110,2)</f>
        <v>0</v>
      </c>
      <c r="K110" s="30">
        <v>2.41694</v>
      </c>
      <c r="L110" s="30">
        <f>F110*K110</f>
        <v>5.0272352</v>
      </c>
      <c r="N110" s="50" t="s">
        <v>7</v>
      </c>
      <c r="O110" s="30">
        <f>IF(N110="5",I110,0)</f>
        <v>0</v>
      </c>
      <c r="Z110" s="30">
        <f>IF(AD110=0,J110,0)</f>
        <v>0</v>
      </c>
      <c r="AA110" s="30">
        <f>IF(AD110=15,J110,0)</f>
        <v>0</v>
      </c>
      <c r="AB110" s="30">
        <f>IF(AD110=21,J110,0)</f>
        <v>0</v>
      </c>
      <c r="AD110" s="30">
        <v>21</v>
      </c>
      <c r="AE110" s="30">
        <f>G110*0.869373164161224</f>
        <v>0</v>
      </c>
      <c r="AF110" s="30">
        <f>G110*(1-0.869373164161224)</f>
        <v>0</v>
      </c>
    </row>
    <row r="111" spans="1:32" ht="12.75">
      <c r="A111" s="10" t="s">
        <v>87</v>
      </c>
      <c r="B111" s="10" t="s">
        <v>259</v>
      </c>
      <c r="C111" s="10" t="s">
        <v>337</v>
      </c>
      <c r="D111" s="10" t="s">
        <v>507</v>
      </c>
      <c r="E111" s="10" t="s">
        <v>616</v>
      </c>
      <c r="F111" s="30">
        <v>8</v>
      </c>
      <c r="H111" s="30">
        <f>ROUND(F111*AE111,2)</f>
        <v>0</v>
      </c>
      <c r="I111" s="30">
        <f>J111-H111</f>
        <v>0</v>
      </c>
      <c r="J111" s="30">
        <f>ROUND(F111*G111,2)</f>
        <v>0</v>
      </c>
      <c r="K111" s="30">
        <v>0.26745</v>
      </c>
      <c r="L111" s="30">
        <f>F111*K111</f>
        <v>2.1396</v>
      </c>
      <c r="N111" s="50" t="s">
        <v>7</v>
      </c>
      <c r="O111" s="30">
        <f>IF(N111="5",I111,0)</f>
        <v>0</v>
      </c>
      <c r="Z111" s="30">
        <f>IF(AD111=0,J111,0)</f>
        <v>0</v>
      </c>
      <c r="AA111" s="30">
        <f>IF(AD111=15,J111,0)</f>
        <v>0</v>
      </c>
      <c r="AB111" s="30">
        <f>IF(AD111=21,J111,0)</f>
        <v>0</v>
      </c>
      <c r="AD111" s="30">
        <v>21</v>
      </c>
      <c r="AE111" s="30">
        <f>G111*0.473086507169215</f>
        <v>0</v>
      </c>
      <c r="AF111" s="30">
        <f>G111*(1-0.473086507169215)</f>
        <v>0</v>
      </c>
    </row>
    <row r="112" spans="1:32" ht="12.75">
      <c r="A112" s="10" t="s">
        <v>88</v>
      </c>
      <c r="B112" s="10" t="s">
        <v>259</v>
      </c>
      <c r="C112" s="10" t="s">
        <v>338</v>
      </c>
      <c r="D112" s="10" t="s">
        <v>508</v>
      </c>
      <c r="E112" s="10" t="s">
        <v>616</v>
      </c>
      <c r="F112" s="30">
        <v>9.2</v>
      </c>
      <c r="H112" s="30">
        <f>ROUND(F112*AE112,2)</f>
        <v>0</v>
      </c>
      <c r="I112" s="30">
        <f>J112-H112</f>
        <v>0</v>
      </c>
      <c r="J112" s="30">
        <f>ROUND(F112*G112,2)</f>
        <v>0</v>
      </c>
      <c r="K112" s="30">
        <v>0.04432</v>
      </c>
      <c r="L112" s="30">
        <f>F112*K112</f>
        <v>0.40774399999999994</v>
      </c>
      <c r="N112" s="50" t="s">
        <v>7</v>
      </c>
      <c r="O112" s="30">
        <f>IF(N112="5",I112,0)</f>
        <v>0</v>
      </c>
      <c r="Z112" s="30">
        <f>IF(AD112=0,J112,0)</f>
        <v>0</v>
      </c>
      <c r="AA112" s="30">
        <f>IF(AD112=15,J112,0)</f>
        <v>0</v>
      </c>
      <c r="AB112" s="30">
        <f>IF(AD112=21,J112,0)</f>
        <v>0</v>
      </c>
      <c r="AD112" s="30">
        <v>21</v>
      </c>
      <c r="AE112" s="30">
        <f>G112*0.793035162783062</f>
        <v>0</v>
      </c>
      <c r="AF112" s="30">
        <f>G112*(1-0.793035162783062)</f>
        <v>0</v>
      </c>
    </row>
    <row r="113" spans="1:32" ht="12.75">
      <c r="A113" s="10" t="s">
        <v>89</v>
      </c>
      <c r="B113" s="10" t="s">
        <v>259</v>
      </c>
      <c r="C113" s="10" t="s">
        <v>339</v>
      </c>
      <c r="D113" s="10" t="s">
        <v>509</v>
      </c>
      <c r="E113" s="10" t="s">
        <v>612</v>
      </c>
      <c r="F113" s="30">
        <v>5.04</v>
      </c>
      <c r="H113" s="30">
        <f>ROUND(F113*AE113,2)</f>
        <v>0</v>
      </c>
      <c r="I113" s="30">
        <f>J113-H113</f>
        <v>0</v>
      </c>
      <c r="J113" s="30">
        <f>ROUND(F113*G113,2)</f>
        <v>0</v>
      </c>
      <c r="K113" s="30">
        <v>0</v>
      </c>
      <c r="L113" s="30">
        <f>F113*K113</f>
        <v>0</v>
      </c>
      <c r="N113" s="50" t="s">
        <v>8</v>
      </c>
      <c r="O113" s="30">
        <f>IF(N113="5",I113,0)</f>
        <v>0</v>
      </c>
      <c r="Z113" s="30">
        <f>IF(AD113=0,J113,0)</f>
        <v>0</v>
      </c>
      <c r="AA113" s="30">
        <f>IF(AD113=15,J113,0)</f>
        <v>0</v>
      </c>
      <c r="AB113" s="30">
        <f>IF(AD113=21,J113,0)</f>
        <v>0</v>
      </c>
      <c r="AD113" s="30">
        <v>21</v>
      </c>
      <c r="AE113" s="30">
        <f>G113*0</f>
        <v>0</v>
      </c>
      <c r="AF113" s="30">
        <f>G113*(1-0)</f>
        <v>0</v>
      </c>
    </row>
    <row r="114" spans="1:37" ht="12.75">
      <c r="A114" s="9"/>
      <c r="B114" s="9"/>
      <c r="C114" s="20" t="s">
        <v>65</v>
      </c>
      <c r="D114" s="25" t="s">
        <v>466</v>
      </c>
      <c r="E114" s="28"/>
      <c r="F114" s="28"/>
      <c r="G114" s="28"/>
      <c r="H114" s="52">
        <f>SUM(H115:H123)</f>
        <v>0</v>
      </c>
      <c r="I114" s="52">
        <f>SUM(I115:I123)</f>
        <v>0</v>
      </c>
      <c r="J114" s="52">
        <f>H114+I114</f>
        <v>0</v>
      </c>
      <c r="K114" s="44"/>
      <c r="L114" s="52">
        <f>SUM(L115:L123)</f>
        <v>159.632026</v>
      </c>
      <c r="P114" s="52">
        <f>IF(Q114="PR",J114,SUM(O115:O123))</f>
        <v>0</v>
      </c>
      <c r="Q114" s="44" t="s">
        <v>641</v>
      </c>
      <c r="R114" s="52">
        <f>IF(Q114="HS",H114,0)</f>
        <v>0</v>
      </c>
      <c r="S114" s="52">
        <f>IF(Q114="HS",I114-P114,0)</f>
        <v>0</v>
      </c>
      <c r="T114" s="52">
        <f>IF(Q114="PS",H114,0)</f>
        <v>0</v>
      </c>
      <c r="U114" s="52">
        <f>IF(Q114="PS",I114-P114,0)</f>
        <v>0</v>
      </c>
      <c r="V114" s="52">
        <f>IF(Q114="MP",H114,0)</f>
        <v>0</v>
      </c>
      <c r="W114" s="52">
        <f>IF(Q114="MP",I114-P114,0)</f>
        <v>0</v>
      </c>
      <c r="X114" s="52">
        <f>IF(Q114="OM",H114,0)</f>
        <v>0</v>
      </c>
      <c r="Y114" s="44" t="s">
        <v>259</v>
      </c>
      <c r="AI114" s="52">
        <f>SUM(Z115:Z123)</f>
        <v>0</v>
      </c>
      <c r="AJ114" s="52">
        <f>SUM(AA115:AA123)</f>
        <v>0</v>
      </c>
      <c r="AK114" s="52">
        <f>SUM(AB115:AB123)</f>
        <v>0</v>
      </c>
    </row>
    <row r="115" spans="1:32" ht="12.75">
      <c r="A115" s="10" t="s">
        <v>90</v>
      </c>
      <c r="B115" s="10" t="s">
        <v>259</v>
      </c>
      <c r="C115" s="10" t="s">
        <v>296</v>
      </c>
      <c r="D115" s="10" t="s">
        <v>459</v>
      </c>
      <c r="E115" s="10" t="s">
        <v>614</v>
      </c>
      <c r="F115" s="30">
        <v>84.79817</v>
      </c>
      <c r="H115" s="30">
        <f aca="true" t="shared" si="52" ref="H115:H123">ROUND(F115*AE115,2)</f>
        <v>0</v>
      </c>
      <c r="I115" s="30">
        <f aca="true" t="shared" si="53" ref="I115:I123">J115-H115</f>
        <v>0</v>
      </c>
      <c r="J115" s="30">
        <f aca="true" t="shared" si="54" ref="J115:J123">ROUND(F115*G115,2)</f>
        <v>0</v>
      </c>
      <c r="K115" s="30">
        <v>0</v>
      </c>
      <c r="L115" s="30">
        <f aca="true" t="shared" si="55" ref="L115:L123">F115*K115</f>
        <v>0</v>
      </c>
      <c r="N115" s="50" t="s">
        <v>11</v>
      </c>
      <c r="O115" s="30">
        <f aca="true" t="shared" si="56" ref="O115:O123">IF(N115="5",I115,0)</f>
        <v>0</v>
      </c>
      <c r="Z115" s="30">
        <f aca="true" t="shared" si="57" ref="Z115:Z123">IF(AD115=0,J115,0)</f>
        <v>0</v>
      </c>
      <c r="AA115" s="30">
        <f aca="true" t="shared" si="58" ref="AA115:AA123">IF(AD115=15,J115,0)</f>
        <v>0</v>
      </c>
      <c r="AB115" s="30">
        <f aca="true" t="shared" si="59" ref="AB115:AB123">IF(AD115=21,J115,0)</f>
        <v>0</v>
      </c>
      <c r="AD115" s="30">
        <v>21</v>
      </c>
      <c r="AE115" s="30">
        <f>G115*0</f>
        <v>0</v>
      </c>
      <c r="AF115" s="30">
        <f>G115*(1-0)</f>
        <v>0</v>
      </c>
    </row>
    <row r="116" spans="1:32" ht="12.75">
      <c r="A116" s="10" t="s">
        <v>91</v>
      </c>
      <c r="B116" s="10" t="s">
        <v>259</v>
      </c>
      <c r="C116" s="10" t="s">
        <v>297</v>
      </c>
      <c r="D116" s="10" t="s">
        <v>460</v>
      </c>
      <c r="E116" s="10" t="s">
        <v>614</v>
      </c>
      <c r="F116" s="30">
        <v>169.6</v>
      </c>
      <c r="H116" s="30">
        <f t="shared" si="52"/>
        <v>0</v>
      </c>
      <c r="I116" s="30">
        <f t="shared" si="53"/>
        <v>0</v>
      </c>
      <c r="J116" s="30">
        <f t="shared" si="54"/>
        <v>0</v>
      </c>
      <c r="K116" s="30">
        <v>0</v>
      </c>
      <c r="L116" s="30">
        <f t="shared" si="55"/>
        <v>0</v>
      </c>
      <c r="N116" s="50" t="s">
        <v>11</v>
      </c>
      <c r="O116" s="30">
        <f t="shared" si="56"/>
        <v>0</v>
      </c>
      <c r="Z116" s="30">
        <f t="shared" si="57"/>
        <v>0</v>
      </c>
      <c r="AA116" s="30">
        <f t="shared" si="58"/>
        <v>0</v>
      </c>
      <c r="AB116" s="30">
        <f t="shared" si="59"/>
        <v>0</v>
      </c>
      <c r="AD116" s="30">
        <v>21</v>
      </c>
      <c r="AE116" s="30">
        <f>G116*0</f>
        <v>0</v>
      </c>
      <c r="AF116" s="30">
        <f>G116*(1-0)</f>
        <v>0</v>
      </c>
    </row>
    <row r="117" spans="1:32" ht="12.75">
      <c r="A117" s="10" t="s">
        <v>92</v>
      </c>
      <c r="B117" s="10" t="s">
        <v>259</v>
      </c>
      <c r="C117" s="10" t="s">
        <v>306</v>
      </c>
      <c r="D117" s="10" t="s">
        <v>471</v>
      </c>
      <c r="E117" s="10" t="s">
        <v>616</v>
      </c>
      <c r="F117" s="30">
        <v>92.4</v>
      </c>
      <c r="H117" s="30">
        <f t="shared" si="52"/>
        <v>0</v>
      </c>
      <c r="I117" s="30">
        <f t="shared" si="53"/>
        <v>0</v>
      </c>
      <c r="J117" s="30">
        <f t="shared" si="54"/>
        <v>0</v>
      </c>
      <c r="K117" s="30">
        <v>0.19049</v>
      </c>
      <c r="L117" s="30">
        <f t="shared" si="55"/>
        <v>17.601276000000002</v>
      </c>
      <c r="N117" s="50" t="s">
        <v>7</v>
      </c>
      <c r="O117" s="30">
        <f t="shared" si="56"/>
        <v>0</v>
      </c>
      <c r="Z117" s="30">
        <f t="shared" si="57"/>
        <v>0</v>
      </c>
      <c r="AA117" s="30">
        <f t="shared" si="58"/>
        <v>0</v>
      </c>
      <c r="AB117" s="30">
        <f t="shared" si="59"/>
        <v>0</v>
      </c>
      <c r="AD117" s="30">
        <v>21</v>
      </c>
      <c r="AE117" s="30">
        <f>G117*0.800036506342977</f>
        <v>0</v>
      </c>
      <c r="AF117" s="30">
        <f>G117*(1-0.800036506342977)</f>
        <v>0</v>
      </c>
    </row>
    <row r="118" spans="1:32" ht="12.75">
      <c r="A118" s="10" t="s">
        <v>93</v>
      </c>
      <c r="B118" s="10" t="s">
        <v>259</v>
      </c>
      <c r="C118" s="10" t="s">
        <v>340</v>
      </c>
      <c r="D118" s="10" t="s">
        <v>510</v>
      </c>
      <c r="E118" s="10" t="s">
        <v>612</v>
      </c>
      <c r="F118" s="30">
        <v>110.2</v>
      </c>
      <c r="H118" s="30">
        <f t="shared" si="52"/>
        <v>0</v>
      </c>
      <c r="I118" s="30">
        <f t="shared" si="53"/>
        <v>0</v>
      </c>
      <c r="J118" s="30">
        <f t="shared" si="54"/>
        <v>0</v>
      </c>
      <c r="K118" s="30">
        <v>0.66909</v>
      </c>
      <c r="L118" s="30">
        <f t="shared" si="55"/>
        <v>73.733718</v>
      </c>
      <c r="N118" s="50" t="s">
        <v>9</v>
      </c>
      <c r="O118" s="30">
        <f t="shared" si="56"/>
        <v>0</v>
      </c>
      <c r="Z118" s="30">
        <f t="shared" si="57"/>
        <v>0</v>
      </c>
      <c r="AA118" s="30">
        <f t="shared" si="58"/>
        <v>0</v>
      </c>
      <c r="AB118" s="30">
        <f t="shared" si="59"/>
        <v>0</v>
      </c>
      <c r="AD118" s="30">
        <v>21</v>
      </c>
      <c r="AE118" s="30">
        <f>G118*0.613376272356087</f>
        <v>0</v>
      </c>
      <c r="AF118" s="30">
        <f>G118*(1-0.613376272356087)</f>
        <v>0</v>
      </c>
    </row>
    <row r="119" spans="1:32" ht="12.75">
      <c r="A119" s="10" t="s">
        <v>94</v>
      </c>
      <c r="B119" s="10" t="s">
        <v>259</v>
      </c>
      <c r="C119" s="10" t="s">
        <v>303</v>
      </c>
      <c r="D119" s="10" t="s">
        <v>468</v>
      </c>
      <c r="E119" s="10" t="s">
        <v>612</v>
      </c>
      <c r="F119" s="30">
        <v>86.8</v>
      </c>
      <c r="H119" s="30">
        <f t="shared" si="52"/>
        <v>0</v>
      </c>
      <c r="I119" s="30">
        <f t="shared" si="53"/>
        <v>0</v>
      </c>
      <c r="J119" s="30">
        <f t="shared" si="54"/>
        <v>0</v>
      </c>
      <c r="K119" s="30">
        <v>0.57848</v>
      </c>
      <c r="L119" s="30">
        <f t="shared" si="55"/>
        <v>50.212064</v>
      </c>
      <c r="N119" s="50" t="s">
        <v>9</v>
      </c>
      <c r="O119" s="30">
        <f t="shared" si="56"/>
        <v>0</v>
      </c>
      <c r="Z119" s="30">
        <f t="shared" si="57"/>
        <v>0</v>
      </c>
      <c r="AA119" s="30">
        <f t="shared" si="58"/>
        <v>0</v>
      </c>
      <c r="AB119" s="30">
        <f t="shared" si="59"/>
        <v>0</v>
      </c>
      <c r="AD119" s="30">
        <v>21</v>
      </c>
      <c r="AE119" s="30">
        <f>G119*0.622299227777077</f>
        <v>0</v>
      </c>
      <c r="AF119" s="30">
        <f>G119*(1-0.622299227777077)</f>
        <v>0</v>
      </c>
    </row>
    <row r="120" spans="1:32" ht="12.75">
      <c r="A120" s="10" t="s">
        <v>95</v>
      </c>
      <c r="B120" s="10" t="s">
        <v>259</v>
      </c>
      <c r="C120" s="10" t="s">
        <v>303</v>
      </c>
      <c r="D120" s="10" t="s">
        <v>469</v>
      </c>
      <c r="E120" s="10" t="s">
        <v>612</v>
      </c>
      <c r="F120" s="30">
        <v>6.5</v>
      </c>
      <c r="H120" s="30">
        <f t="shared" si="52"/>
        <v>0</v>
      </c>
      <c r="I120" s="30">
        <f t="shared" si="53"/>
        <v>0</v>
      </c>
      <c r="J120" s="30">
        <f t="shared" si="54"/>
        <v>0</v>
      </c>
      <c r="K120" s="30">
        <v>0.57848</v>
      </c>
      <c r="L120" s="30">
        <f t="shared" si="55"/>
        <v>3.76012</v>
      </c>
      <c r="N120" s="50" t="s">
        <v>9</v>
      </c>
      <c r="O120" s="30">
        <f t="shared" si="56"/>
        <v>0</v>
      </c>
      <c r="Z120" s="30">
        <f t="shared" si="57"/>
        <v>0</v>
      </c>
      <c r="AA120" s="30">
        <f t="shared" si="58"/>
        <v>0</v>
      </c>
      <c r="AB120" s="30">
        <f t="shared" si="59"/>
        <v>0</v>
      </c>
      <c r="AD120" s="30">
        <v>21</v>
      </c>
      <c r="AE120" s="30">
        <f>G120*0.661176930757275</f>
        <v>0</v>
      </c>
      <c r="AF120" s="30">
        <f>G120*(1-0.661176930757275)</f>
        <v>0</v>
      </c>
    </row>
    <row r="121" spans="1:32" ht="12.75">
      <c r="A121" s="10" t="s">
        <v>96</v>
      </c>
      <c r="B121" s="10" t="s">
        <v>259</v>
      </c>
      <c r="C121" s="10" t="s">
        <v>306</v>
      </c>
      <c r="D121" s="10" t="s">
        <v>471</v>
      </c>
      <c r="E121" s="10" t="s">
        <v>616</v>
      </c>
      <c r="F121" s="30">
        <v>75.2</v>
      </c>
      <c r="H121" s="30">
        <f t="shared" si="52"/>
        <v>0</v>
      </c>
      <c r="I121" s="30">
        <f t="shared" si="53"/>
        <v>0</v>
      </c>
      <c r="J121" s="30">
        <f t="shared" si="54"/>
        <v>0</v>
      </c>
      <c r="K121" s="30">
        <v>0.19049</v>
      </c>
      <c r="L121" s="30">
        <f t="shared" si="55"/>
        <v>14.324848</v>
      </c>
      <c r="N121" s="50" t="s">
        <v>7</v>
      </c>
      <c r="O121" s="30">
        <f t="shared" si="56"/>
        <v>0</v>
      </c>
      <c r="Z121" s="30">
        <f t="shared" si="57"/>
        <v>0</v>
      </c>
      <c r="AA121" s="30">
        <f t="shared" si="58"/>
        <v>0</v>
      </c>
      <c r="AB121" s="30">
        <f t="shared" si="59"/>
        <v>0</v>
      </c>
      <c r="AD121" s="30">
        <v>21</v>
      </c>
      <c r="AE121" s="30">
        <f>G121*0.800036506342977</f>
        <v>0</v>
      </c>
      <c r="AF121" s="30">
        <f>G121*(1-0.800036506342977)</f>
        <v>0</v>
      </c>
    </row>
    <row r="122" spans="1:32" ht="12.75">
      <c r="A122" s="10" t="s">
        <v>97</v>
      </c>
      <c r="B122" s="10" t="s">
        <v>259</v>
      </c>
      <c r="C122" s="10" t="s">
        <v>296</v>
      </c>
      <c r="D122" s="10" t="s">
        <v>459</v>
      </c>
      <c r="E122" s="10" t="s">
        <v>614</v>
      </c>
      <c r="F122" s="30">
        <v>62.77</v>
      </c>
      <c r="H122" s="30">
        <f t="shared" si="52"/>
        <v>0</v>
      </c>
      <c r="I122" s="30">
        <f t="shared" si="53"/>
        <v>0</v>
      </c>
      <c r="J122" s="30">
        <f t="shared" si="54"/>
        <v>0</v>
      </c>
      <c r="K122" s="30">
        <v>0</v>
      </c>
      <c r="L122" s="30">
        <f t="shared" si="55"/>
        <v>0</v>
      </c>
      <c r="N122" s="50" t="s">
        <v>11</v>
      </c>
      <c r="O122" s="30">
        <f t="shared" si="56"/>
        <v>0</v>
      </c>
      <c r="Z122" s="30">
        <f t="shared" si="57"/>
        <v>0</v>
      </c>
      <c r="AA122" s="30">
        <f t="shared" si="58"/>
        <v>0</v>
      </c>
      <c r="AB122" s="30">
        <f t="shared" si="59"/>
        <v>0</v>
      </c>
      <c r="AD122" s="30">
        <v>21</v>
      </c>
      <c r="AE122" s="30">
        <f>G122*0</f>
        <v>0</v>
      </c>
      <c r="AF122" s="30">
        <f>G122*(1-0)</f>
        <v>0</v>
      </c>
    </row>
    <row r="123" spans="1:32" ht="12.75">
      <c r="A123" s="10" t="s">
        <v>98</v>
      </c>
      <c r="B123" s="10" t="s">
        <v>259</v>
      </c>
      <c r="C123" s="10" t="s">
        <v>297</v>
      </c>
      <c r="D123" s="10" t="s">
        <v>460</v>
      </c>
      <c r="E123" s="10" t="s">
        <v>614</v>
      </c>
      <c r="F123" s="30">
        <v>125.54</v>
      </c>
      <c r="H123" s="30">
        <f t="shared" si="52"/>
        <v>0</v>
      </c>
      <c r="I123" s="30">
        <f t="shared" si="53"/>
        <v>0</v>
      </c>
      <c r="J123" s="30">
        <f t="shared" si="54"/>
        <v>0</v>
      </c>
      <c r="K123" s="30">
        <v>0</v>
      </c>
      <c r="L123" s="30">
        <f t="shared" si="55"/>
        <v>0</v>
      </c>
      <c r="N123" s="50" t="s">
        <v>11</v>
      </c>
      <c r="O123" s="30">
        <f t="shared" si="56"/>
        <v>0</v>
      </c>
      <c r="Z123" s="30">
        <f t="shared" si="57"/>
        <v>0</v>
      </c>
      <c r="AA123" s="30">
        <f t="shared" si="58"/>
        <v>0</v>
      </c>
      <c r="AB123" s="30">
        <f t="shared" si="59"/>
        <v>0</v>
      </c>
      <c r="AD123" s="30">
        <v>21</v>
      </c>
      <c r="AE123" s="30">
        <f>G123*0</f>
        <v>0</v>
      </c>
      <c r="AF123" s="30">
        <f>G123*(1-0)</f>
        <v>0</v>
      </c>
    </row>
    <row r="124" spans="1:12" ht="12.75">
      <c r="A124" s="9"/>
      <c r="B124" s="9"/>
      <c r="C124" s="20"/>
      <c r="D124" s="25" t="s">
        <v>511</v>
      </c>
      <c r="E124" s="28"/>
      <c r="F124" s="28"/>
      <c r="G124" s="28"/>
      <c r="H124" s="52">
        <f>H125+H127+H136+H142+H147+H152+H156+H161+H164+H171+H173+H176</f>
        <v>0</v>
      </c>
      <c r="I124" s="52">
        <f>I125+I127+I136+I142+I147+I152+I156+I161+I164+I171+I173+I176</f>
        <v>0</v>
      </c>
      <c r="J124" s="52">
        <f>H124+I124</f>
        <v>0</v>
      </c>
      <c r="K124" s="44"/>
      <c r="L124" s="52">
        <f>L125+L127+L136+L142+L147+L152+L156+L161+L164+L171+L173+L176</f>
        <v>358.38373316</v>
      </c>
    </row>
    <row r="125" spans="1:37" ht="12.75">
      <c r="A125" s="9"/>
      <c r="B125" s="9"/>
      <c r="C125" s="20" t="s">
        <v>266</v>
      </c>
      <c r="D125" s="25" t="s">
        <v>424</v>
      </c>
      <c r="E125" s="28"/>
      <c r="F125" s="28"/>
      <c r="G125" s="28"/>
      <c r="H125" s="52">
        <f>SUM(H126:H126)</f>
        <v>0</v>
      </c>
      <c r="I125" s="52">
        <f>SUM(I126:I126)</f>
        <v>0</v>
      </c>
      <c r="J125" s="52">
        <f>H125+I125</f>
        <v>0</v>
      </c>
      <c r="K125" s="44"/>
      <c r="L125" s="52">
        <f>SUM(L126:L126)</f>
        <v>0</v>
      </c>
      <c r="P125" s="52">
        <f>IF(Q125="PR",J125,SUM(O126:O126))</f>
        <v>0</v>
      </c>
      <c r="Q125" s="44" t="s">
        <v>641</v>
      </c>
      <c r="R125" s="52">
        <f>IF(Q125="HS",H125,0)</f>
        <v>0</v>
      </c>
      <c r="S125" s="52">
        <f>IF(Q125="HS",I125-P125,0)</f>
        <v>0</v>
      </c>
      <c r="T125" s="52">
        <f>IF(Q125="PS",H125,0)</f>
        <v>0</v>
      </c>
      <c r="U125" s="52">
        <f>IF(Q125="PS",I125-P125,0)</f>
        <v>0</v>
      </c>
      <c r="V125" s="52">
        <f>IF(Q125="MP",H125,0)</f>
        <v>0</v>
      </c>
      <c r="W125" s="52">
        <f>IF(Q125="MP",I125-P125,0)</f>
        <v>0</v>
      </c>
      <c r="X125" s="52">
        <f>IF(Q125="OM",H125,0)</f>
        <v>0</v>
      </c>
      <c r="Y125" s="44" t="s">
        <v>260</v>
      </c>
      <c r="AI125" s="52">
        <f>SUM(Z126:Z126)</f>
        <v>0</v>
      </c>
      <c r="AJ125" s="52">
        <f>SUM(AA126:AA126)</f>
        <v>0</v>
      </c>
      <c r="AK125" s="52">
        <f>SUM(AB126:AB126)</f>
        <v>0</v>
      </c>
    </row>
    <row r="126" spans="1:32" ht="12.75">
      <c r="A126" s="10" t="s">
        <v>99</v>
      </c>
      <c r="B126" s="10" t="s">
        <v>260</v>
      </c>
      <c r="C126" s="10" t="s">
        <v>267</v>
      </c>
      <c r="D126" s="10" t="s">
        <v>425</v>
      </c>
      <c r="E126" s="10" t="s">
        <v>611</v>
      </c>
      <c r="F126" s="30">
        <v>1</v>
      </c>
      <c r="H126" s="30">
        <f>ROUND(F126*AE126,2)</f>
        <v>0</v>
      </c>
      <c r="I126" s="30">
        <f>J126-H126</f>
        <v>0</v>
      </c>
      <c r="J126" s="30">
        <f>ROUND(F126*G126,2)</f>
        <v>0</v>
      </c>
      <c r="K126" s="30">
        <v>0</v>
      </c>
      <c r="L126" s="30">
        <f>F126*K126</f>
        <v>0</v>
      </c>
      <c r="N126" s="50" t="s">
        <v>7</v>
      </c>
      <c r="O126" s="30">
        <f>IF(N126="5",I126,0)</f>
        <v>0</v>
      </c>
      <c r="Z126" s="30">
        <f>IF(AD126=0,J126,0)</f>
        <v>0</v>
      </c>
      <c r="AA126" s="30">
        <f>IF(AD126=15,J126,0)</f>
        <v>0</v>
      </c>
      <c r="AB126" s="30">
        <f>IF(AD126=21,J126,0)</f>
        <v>0</v>
      </c>
      <c r="AD126" s="30">
        <v>21</v>
      </c>
      <c r="AE126" s="30">
        <f>G126*0</f>
        <v>0</v>
      </c>
      <c r="AF126" s="30">
        <f>G126*(1-0)</f>
        <v>0</v>
      </c>
    </row>
    <row r="127" spans="1:37" ht="12.75">
      <c r="A127" s="9"/>
      <c r="B127" s="9"/>
      <c r="C127" s="20" t="s">
        <v>17</v>
      </c>
      <c r="D127" s="25" t="s">
        <v>426</v>
      </c>
      <c r="E127" s="28"/>
      <c r="F127" s="28"/>
      <c r="G127" s="28"/>
      <c r="H127" s="52">
        <f>SUM(H128:H135)</f>
        <v>0</v>
      </c>
      <c r="I127" s="52">
        <f>SUM(I128:I135)</f>
        <v>0</v>
      </c>
      <c r="J127" s="52">
        <f>H127+I127</f>
        <v>0</v>
      </c>
      <c r="K127" s="44"/>
      <c r="L127" s="52">
        <f>SUM(L128:L135)</f>
        <v>55.1294625</v>
      </c>
      <c r="P127" s="52">
        <f>IF(Q127="PR",J127,SUM(O128:O135))</f>
        <v>0</v>
      </c>
      <c r="Q127" s="44" t="s">
        <v>641</v>
      </c>
      <c r="R127" s="52">
        <f>IF(Q127="HS",H127,0)</f>
        <v>0</v>
      </c>
      <c r="S127" s="52">
        <f>IF(Q127="HS",I127-P127,0)</f>
        <v>0</v>
      </c>
      <c r="T127" s="52">
        <f>IF(Q127="PS",H127,0)</f>
        <v>0</v>
      </c>
      <c r="U127" s="52">
        <f>IF(Q127="PS",I127-P127,0)</f>
        <v>0</v>
      </c>
      <c r="V127" s="52">
        <f>IF(Q127="MP",H127,0)</f>
        <v>0</v>
      </c>
      <c r="W127" s="52">
        <f>IF(Q127="MP",I127-P127,0)</f>
        <v>0</v>
      </c>
      <c r="X127" s="52">
        <f>IF(Q127="OM",H127,0)</f>
        <v>0</v>
      </c>
      <c r="Y127" s="44" t="s">
        <v>260</v>
      </c>
      <c r="AI127" s="52">
        <f>SUM(Z128:Z135)</f>
        <v>0</v>
      </c>
      <c r="AJ127" s="52">
        <f>SUM(AA128:AA135)</f>
        <v>0</v>
      </c>
      <c r="AK127" s="52">
        <f>SUM(AB128:AB135)</f>
        <v>0</v>
      </c>
    </row>
    <row r="128" spans="1:32" ht="12.75">
      <c r="A128" s="10" t="s">
        <v>100</v>
      </c>
      <c r="B128" s="10" t="s">
        <v>260</v>
      </c>
      <c r="C128" s="10" t="s">
        <v>268</v>
      </c>
      <c r="D128" s="10" t="s">
        <v>427</v>
      </c>
      <c r="E128" s="10" t="s">
        <v>612</v>
      </c>
      <c r="F128" s="30">
        <v>175.25</v>
      </c>
      <c r="H128" s="30">
        <f aca="true" t="shared" si="60" ref="H128:H135">ROUND(F128*AE128,2)</f>
        <v>0</v>
      </c>
      <c r="I128" s="30">
        <f aca="true" t="shared" si="61" ref="I128:I135">J128-H128</f>
        <v>0</v>
      </c>
      <c r="J128" s="30">
        <f aca="true" t="shared" si="62" ref="J128:J135">ROUND(F128*G128,2)</f>
        <v>0</v>
      </c>
      <c r="K128" s="30">
        <v>0</v>
      </c>
      <c r="L128" s="30">
        <f aca="true" t="shared" si="63" ref="L128:L135">F128*K128</f>
        <v>0</v>
      </c>
      <c r="N128" s="50" t="s">
        <v>7</v>
      </c>
      <c r="O128" s="30">
        <f aca="true" t="shared" si="64" ref="O128:O135">IF(N128="5",I128,0)</f>
        <v>0</v>
      </c>
      <c r="Z128" s="30">
        <f aca="true" t="shared" si="65" ref="Z128:Z135">IF(AD128=0,J128,0)</f>
        <v>0</v>
      </c>
      <c r="AA128" s="30">
        <f aca="true" t="shared" si="66" ref="AA128:AA135">IF(AD128=15,J128,0)</f>
        <v>0</v>
      </c>
      <c r="AB128" s="30">
        <f aca="true" t="shared" si="67" ref="AB128:AB135">IF(AD128=21,J128,0)</f>
        <v>0</v>
      </c>
      <c r="AD128" s="30">
        <v>21</v>
      </c>
      <c r="AE128" s="30">
        <f>G128*0</f>
        <v>0</v>
      </c>
      <c r="AF128" s="30">
        <f>G128*(1-0)</f>
        <v>0</v>
      </c>
    </row>
    <row r="129" spans="1:32" ht="12.75">
      <c r="A129" s="10" t="s">
        <v>101</v>
      </c>
      <c r="B129" s="10" t="s">
        <v>260</v>
      </c>
      <c r="C129" s="10" t="s">
        <v>271</v>
      </c>
      <c r="D129" s="10" t="s">
        <v>430</v>
      </c>
      <c r="E129" s="10" t="s">
        <v>612</v>
      </c>
      <c r="F129" s="30">
        <v>175.25</v>
      </c>
      <c r="H129" s="30">
        <f t="shared" si="60"/>
        <v>0</v>
      </c>
      <c r="I129" s="30">
        <f t="shared" si="61"/>
        <v>0</v>
      </c>
      <c r="J129" s="30">
        <f t="shared" si="62"/>
        <v>0</v>
      </c>
      <c r="K129" s="30">
        <v>5E-05</v>
      </c>
      <c r="L129" s="30">
        <f t="shared" si="63"/>
        <v>0.008762500000000001</v>
      </c>
      <c r="N129" s="50" t="s">
        <v>7</v>
      </c>
      <c r="O129" s="30">
        <f t="shared" si="64"/>
        <v>0</v>
      </c>
      <c r="Z129" s="30">
        <f t="shared" si="65"/>
        <v>0</v>
      </c>
      <c r="AA129" s="30">
        <f t="shared" si="66"/>
        <v>0</v>
      </c>
      <c r="AB129" s="30">
        <f t="shared" si="67"/>
        <v>0</v>
      </c>
      <c r="AD129" s="30">
        <v>21</v>
      </c>
      <c r="AE129" s="30">
        <f>G129*0.167281672816728</f>
        <v>0</v>
      </c>
      <c r="AF129" s="30">
        <f>G129*(1-0.167281672816728)</f>
        <v>0</v>
      </c>
    </row>
    <row r="130" spans="1:32" ht="12.75">
      <c r="A130" s="10" t="s">
        <v>102</v>
      </c>
      <c r="B130" s="10" t="s">
        <v>260</v>
      </c>
      <c r="C130" s="10" t="s">
        <v>272</v>
      </c>
      <c r="D130" s="10" t="s">
        <v>431</v>
      </c>
      <c r="E130" s="10" t="s">
        <v>612</v>
      </c>
      <c r="F130" s="30">
        <v>53.7</v>
      </c>
      <c r="H130" s="30">
        <f t="shared" si="60"/>
        <v>0</v>
      </c>
      <c r="I130" s="30">
        <f t="shared" si="61"/>
        <v>0</v>
      </c>
      <c r="J130" s="30">
        <f t="shared" si="62"/>
        <v>0</v>
      </c>
      <c r="K130" s="30">
        <v>0.128</v>
      </c>
      <c r="L130" s="30">
        <f t="shared" si="63"/>
        <v>6.873600000000001</v>
      </c>
      <c r="N130" s="50" t="s">
        <v>7</v>
      </c>
      <c r="O130" s="30">
        <f t="shared" si="64"/>
        <v>0</v>
      </c>
      <c r="Z130" s="30">
        <f t="shared" si="65"/>
        <v>0</v>
      </c>
      <c r="AA130" s="30">
        <f t="shared" si="66"/>
        <v>0</v>
      </c>
      <c r="AB130" s="30">
        <f t="shared" si="67"/>
        <v>0</v>
      </c>
      <c r="AD130" s="30">
        <v>21</v>
      </c>
      <c r="AE130" s="30">
        <f aca="true" t="shared" si="68" ref="AE130:AE135">G130*0</f>
        <v>0</v>
      </c>
      <c r="AF130" s="30">
        <f aca="true" t="shared" si="69" ref="AF130:AF135">G130*(1-0)</f>
        <v>0</v>
      </c>
    </row>
    <row r="131" spans="1:32" ht="12.75">
      <c r="A131" s="10" t="s">
        <v>103</v>
      </c>
      <c r="B131" s="10" t="s">
        <v>260</v>
      </c>
      <c r="C131" s="10" t="s">
        <v>273</v>
      </c>
      <c r="D131" s="10" t="s">
        <v>432</v>
      </c>
      <c r="E131" s="10" t="s">
        <v>612</v>
      </c>
      <c r="F131" s="30">
        <v>53.7</v>
      </c>
      <c r="H131" s="30">
        <f t="shared" si="60"/>
        <v>0</v>
      </c>
      <c r="I131" s="30">
        <f t="shared" si="61"/>
        <v>0</v>
      </c>
      <c r="J131" s="30">
        <f t="shared" si="62"/>
        <v>0</v>
      </c>
      <c r="K131" s="30">
        <v>0.235</v>
      </c>
      <c r="L131" s="30">
        <f t="shared" si="63"/>
        <v>12.6195</v>
      </c>
      <c r="N131" s="50" t="s">
        <v>7</v>
      </c>
      <c r="O131" s="30">
        <f t="shared" si="64"/>
        <v>0</v>
      </c>
      <c r="Z131" s="30">
        <f t="shared" si="65"/>
        <v>0</v>
      </c>
      <c r="AA131" s="30">
        <f t="shared" si="66"/>
        <v>0</v>
      </c>
      <c r="AB131" s="30">
        <f t="shared" si="67"/>
        <v>0</v>
      </c>
      <c r="AD131" s="30">
        <v>21</v>
      </c>
      <c r="AE131" s="30">
        <f t="shared" si="68"/>
        <v>0</v>
      </c>
      <c r="AF131" s="30">
        <f t="shared" si="69"/>
        <v>0</v>
      </c>
    </row>
    <row r="132" spans="1:32" ht="12.75">
      <c r="A132" s="10" t="s">
        <v>104</v>
      </c>
      <c r="B132" s="10" t="s">
        <v>260</v>
      </c>
      <c r="C132" s="10" t="s">
        <v>274</v>
      </c>
      <c r="D132" s="10" t="s">
        <v>433</v>
      </c>
      <c r="E132" s="10" t="s">
        <v>612</v>
      </c>
      <c r="F132" s="30">
        <v>53.7</v>
      </c>
      <c r="H132" s="30">
        <f t="shared" si="60"/>
        <v>0</v>
      </c>
      <c r="I132" s="30">
        <f t="shared" si="61"/>
        <v>0</v>
      </c>
      <c r="J132" s="30">
        <f t="shared" si="62"/>
        <v>0</v>
      </c>
      <c r="K132" s="30">
        <v>0.56</v>
      </c>
      <c r="L132" s="30">
        <f t="shared" si="63"/>
        <v>30.072000000000003</v>
      </c>
      <c r="N132" s="50" t="s">
        <v>7</v>
      </c>
      <c r="O132" s="30">
        <f t="shared" si="64"/>
        <v>0</v>
      </c>
      <c r="Z132" s="30">
        <f t="shared" si="65"/>
        <v>0</v>
      </c>
      <c r="AA132" s="30">
        <f t="shared" si="66"/>
        <v>0</v>
      </c>
      <c r="AB132" s="30">
        <f t="shared" si="67"/>
        <v>0</v>
      </c>
      <c r="AD132" s="30">
        <v>21</v>
      </c>
      <c r="AE132" s="30">
        <f t="shared" si="68"/>
        <v>0</v>
      </c>
      <c r="AF132" s="30">
        <f t="shared" si="69"/>
        <v>0</v>
      </c>
    </row>
    <row r="133" spans="1:32" ht="12.75">
      <c r="A133" s="10" t="s">
        <v>105</v>
      </c>
      <c r="B133" s="10" t="s">
        <v>260</v>
      </c>
      <c r="C133" s="10" t="s">
        <v>341</v>
      </c>
      <c r="D133" s="10" t="s">
        <v>512</v>
      </c>
      <c r="E133" s="10" t="s">
        <v>612</v>
      </c>
      <c r="F133" s="30">
        <v>6.8</v>
      </c>
      <c r="H133" s="30">
        <f t="shared" si="60"/>
        <v>0</v>
      </c>
      <c r="I133" s="30">
        <f t="shared" si="61"/>
        <v>0</v>
      </c>
      <c r="J133" s="30">
        <f t="shared" si="62"/>
        <v>0</v>
      </c>
      <c r="K133" s="30">
        <v>0.417</v>
      </c>
      <c r="L133" s="30">
        <f t="shared" si="63"/>
        <v>2.8356</v>
      </c>
      <c r="N133" s="50" t="s">
        <v>7</v>
      </c>
      <c r="O133" s="30">
        <f t="shared" si="64"/>
        <v>0</v>
      </c>
      <c r="Z133" s="30">
        <f t="shared" si="65"/>
        <v>0</v>
      </c>
      <c r="AA133" s="30">
        <f t="shared" si="66"/>
        <v>0</v>
      </c>
      <c r="AB133" s="30">
        <f t="shared" si="67"/>
        <v>0</v>
      </c>
      <c r="AD133" s="30">
        <v>21</v>
      </c>
      <c r="AE133" s="30">
        <f t="shared" si="68"/>
        <v>0</v>
      </c>
      <c r="AF133" s="30">
        <f t="shared" si="69"/>
        <v>0</v>
      </c>
    </row>
    <row r="134" spans="1:32" ht="12.75">
      <c r="A134" s="10" t="s">
        <v>106</v>
      </c>
      <c r="B134" s="10" t="s">
        <v>260</v>
      </c>
      <c r="C134" s="10" t="s">
        <v>342</v>
      </c>
      <c r="D134" s="10" t="s">
        <v>513</v>
      </c>
      <c r="E134" s="10" t="s">
        <v>612</v>
      </c>
      <c r="F134" s="30">
        <v>6.8</v>
      </c>
      <c r="H134" s="30">
        <f t="shared" si="60"/>
        <v>0</v>
      </c>
      <c r="I134" s="30">
        <f t="shared" si="61"/>
        <v>0</v>
      </c>
      <c r="J134" s="30">
        <f t="shared" si="62"/>
        <v>0</v>
      </c>
      <c r="K134" s="30">
        <v>0.4</v>
      </c>
      <c r="L134" s="30">
        <f t="shared" si="63"/>
        <v>2.72</v>
      </c>
      <c r="N134" s="50" t="s">
        <v>7</v>
      </c>
      <c r="O134" s="30">
        <f t="shared" si="64"/>
        <v>0</v>
      </c>
      <c r="Z134" s="30">
        <f t="shared" si="65"/>
        <v>0</v>
      </c>
      <c r="AA134" s="30">
        <f t="shared" si="66"/>
        <v>0</v>
      </c>
      <c r="AB134" s="30">
        <f t="shared" si="67"/>
        <v>0</v>
      </c>
      <c r="AD134" s="30">
        <v>21</v>
      </c>
      <c r="AE134" s="30">
        <f t="shared" si="68"/>
        <v>0</v>
      </c>
      <c r="AF134" s="30">
        <f t="shared" si="69"/>
        <v>0</v>
      </c>
    </row>
    <row r="135" spans="1:32" ht="12.75">
      <c r="A135" s="10" t="s">
        <v>107</v>
      </c>
      <c r="B135" s="10" t="s">
        <v>260</v>
      </c>
      <c r="C135" s="10" t="s">
        <v>343</v>
      </c>
      <c r="D135" s="10" t="s">
        <v>514</v>
      </c>
      <c r="E135" s="10" t="s">
        <v>616</v>
      </c>
      <c r="F135" s="30">
        <v>5.7</v>
      </c>
      <c r="H135" s="30">
        <f t="shared" si="60"/>
        <v>0</v>
      </c>
      <c r="I135" s="30">
        <f t="shared" si="61"/>
        <v>0</v>
      </c>
      <c r="J135" s="30">
        <f t="shared" si="62"/>
        <v>0</v>
      </c>
      <c r="K135" s="30">
        <v>0</v>
      </c>
      <c r="L135" s="30">
        <f t="shared" si="63"/>
        <v>0</v>
      </c>
      <c r="N135" s="50" t="s">
        <v>8</v>
      </c>
      <c r="O135" s="30">
        <f t="shared" si="64"/>
        <v>0</v>
      </c>
      <c r="Z135" s="30">
        <f t="shared" si="65"/>
        <v>0</v>
      </c>
      <c r="AA135" s="30">
        <f t="shared" si="66"/>
        <v>0</v>
      </c>
      <c r="AB135" s="30">
        <f t="shared" si="67"/>
        <v>0</v>
      </c>
      <c r="AD135" s="30">
        <v>21</v>
      </c>
      <c r="AE135" s="30">
        <f t="shared" si="68"/>
        <v>0</v>
      </c>
      <c r="AF135" s="30">
        <f t="shared" si="69"/>
        <v>0</v>
      </c>
    </row>
    <row r="136" spans="1:37" ht="12.75">
      <c r="A136" s="9"/>
      <c r="B136" s="9"/>
      <c r="C136" s="20" t="s">
        <v>18</v>
      </c>
      <c r="D136" s="25" t="s">
        <v>436</v>
      </c>
      <c r="E136" s="28"/>
      <c r="F136" s="28"/>
      <c r="G136" s="28"/>
      <c r="H136" s="52">
        <f>SUM(H137:H141)</f>
        <v>0</v>
      </c>
      <c r="I136" s="52">
        <f>SUM(I137:I141)</f>
        <v>0</v>
      </c>
      <c r="J136" s="52">
        <f>H136+I136</f>
        <v>0</v>
      </c>
      <c r="K136" s="44"/>
      <c r="L136" s="52">
        <f>SUM(L137:L141)</f>
        <v>0</v>
      </c>
      <c r="P136" s="52">
        <f>IF(Q136="PR",J136,SUM(O137:O141))</f>
        <v>0</v>
      </c>
      <c r="Q136" s="44" t="s">
        <v>641</v>
      </c>
      <c r="R136" s="52">
        <f>IF(Q136="HS",H136,0)</f>
        <v>0</v>
      </c>
      <c r="S136" s="52">
        <f>IF(Q136="HS",I136-P136,0)</f>
        <v>0</v>
      </c>
      <c r="T136" s="52">
        <f>IF(Q136="PS",H136,0)</f>
        <v>0</v>
      </c>
      <c r="U136" s="52">
        <f>IF(Q136="PS",I136-P136,0)</f>
        <v>0</v>
      </c>
      <c r="V136" s="52">
        <f>IF(Q136="MP",H136,0)</f>
        <v>0</v>
      </c>
      <c r="W136" s="52">
        <f>IF(Q136="MP",I136-P136,0)</f>
        <v>0</v>
      </c>
      <c r="X136" s="52">
        <f>IF(Q136="OM",H136,0)</f>
        <v>0</v>
      </c>
      <c r="Y136" s="44" t="s">
        <v>260</v>
      </c>
      <c r="AI136" s="52">
        <f>SUM(Z137:Z141)</f>
        <v>0</v>
      </c>
      <c r="AJ136" s="52">
        <f>SUM(AA137:AA141)</f>
        <v>0</v>
      </c>
      <c r="AK136" s="52">
        <f>SUM(AB137:AB141)</f>
        <v>0</v>
      </c>
    </row>
    <row r="137" spans="1:32" ht="12.75">
      <c r="A137" s="10" t="s">
        <v>108</v>
      </c>
      <c r="B137" s="10" t="s">
        <v>260</v>
      </c>
      <c r="C137" s="10" t="s">
        <v>277</v>
      </c>
      <c r="D137" s="10" t="s">
        <v>437</v>
      </c>
      <c r="E137" s="10" t="s">
        <v>615</v>
      </c>
      <c r="F137" s="30">
        <v>64.09</v>
      </c>
      <c r="H137" s="30">
        <f>ROUND(F137*AE137,2)</f>
        <v>0</v>
      </c>
      <c r="I137" s="30">
        <f>J137-H137</f>
        <v>0</v>
      </c>
      <c r="J137" s="30">
        <f>ROUND(F137*G137,2)</f>
        <v>0</v>
      </c>
      <c r="K137" s="30">
        <v>0</v>
      </c>
      <c r="L137" s="30">
        <f>F137*K137</f>
        <v>0</v>
      </c>
      <c r="N137" s="50" t="s">
        <v>7</v>
      </c>
      <c r="O137" s="30">
        <f>IF(N137="5",I137,0)</f>
        <v>0</v>
      </c>
      <c r="Z137" s="30">
        <f>IF(AD137=0,J137,0)</f>
        <v>0</v>
      </c>
      <c r="AA137" s="30">
        <f>IF(AD137=15,J137,0)</f>
        <v>0</v>
      </c>
      <c r="AB137" s="30">
        <f>IF(AD137=21,J137,0)</f>
        <v>0</v>
      </c>
      <c r="AD137" s="30">
        <v>21</v>
      </c>
      <c r="AE137" s="30">
        <f>G137*0</f>
        <v>0</v>
      </c>
      <c r="AF137" s="30">
        <f>G137*(1-0)</f>
        <v>0</v>
      </c>
    </row>
    <row r="138" spans="1:32" ht="12.75">
      <c r="A138" s="10" t="s">
        <v>109</v>
      </c>
      <c r="B138" s="10" t="s">
        <v>260</v>
      </c>
      <c r="C138" s="10" t="s">
        <v>278</v>
      </c>
      <c r="D138" s="10" t="s">
        <v>515</v>
      </c>
      <c r="E138" s="10" t="s">
        <v>615</v>
      </c>
      <c r="F138" s="30">
        <v>64.09</v>
      </c>
      <c r="H138" s="30">
        <f>ROUND(F138*AE138,2)</f>
        <v>0</v>
      </c>
      <c r="I138" s="30">
        <f>J138-H138</f>
        <v>0</v>
      </c>
      <c r="J138" s="30">
        <f>ROUND(F138*G138,2)</f>
        <v>0</v>
      </c>
      <c r="K138" s="30">
        <v>0</v>
      </c>
      <c r="L138" s="30">
        <f>F138*K138</f>
        <v>0</v>
      </c>
      <c r="N138" s="50" t="s">
        <v>7</v>
      </c>
      <c r="O138" s="30">
        <f>IF(N138="5",I138,0)</f>
        <v>0</v>
      </c>
      <c r="Z138" s="30">
        <f>IF(AD138=0,J138,0)</f>
        <v>0</v>
      </c>
      <c r="AA138" s="30">
        <f>IF(AD138=15,J138,0)</f>
        <v>0</v>
      </c>
      <c r="AB138" s="30">
        <f>IF(AD138=21,J138,0)</f>
        <v>0</v>
      </c>
      <c r="AD138" s="30">
        <v>21</v>
      </c>
      <c r="AE138" s="30">
        <f>G138*0</f>
        <v>0</v>
      </c>
      <c r="AF138" s="30">
        <f>G138*(1-0)</f>
        <v>0</v>
      </c>
    </row>
    <row r="139" spans="1:32" ht="12.75">
      <c r="A139" s="10" t="s">
        <v>110</v>
      </c>
      <c r="B139" s="10" t="s">
        <v>260</v>
      </c>
      <c r="C139" s="10" t="s">
        <v>279</v>
      </c>
      <c r="D139" s="10" t="s">
        <v>439</v>
      </c>
      <c r="E139" s="10" t="s">
        <v>615</v>
      </c>
      <c r="F139" s="30">
        <v>64.09</v>
      </c>
      <c r="H139" s="30">
        <f>ROUND(F139*AE139,2)</f>
        <v>0</v>
      </c>
      <c r="I139" s="30">
        <f>J139-H139</f>
        <v>0</v>
      </c>
      <c r="J139" s="30">
        <f>ROUND(F139*G139,2)</f>
        <v>0</v>
      </c>
      <c r="K139" s="30">
        <v>0</v>
      </c>
      <c r="L139" s="30">
        <f>F139*K139</f>
        <v>0</v>
      </c>
      <c r="N139" s="50" t="s">
        <v>7</v>
      </c>
      <c r="O139" s="30">
        <f>IF(N139="5",I139,0)</f>
        <v>0</v>
      </c>
      <c r="Z139" s="30">
        <f>IF(AD139=0,J139,0)</f>
        <v>0</v>
      </c>
      <c r="AA139" s="30">
        <f>IF(AD139=15,J139,0)</f>
        <v>0</v>
      </c>
      <c r="AB139" s="30">
        <f>IF(AD139=21,J139,0)</f>
        <v>0</v>
      </c>
      <c r="AD139" s="30">
        <v>21</v>
      </c>
      <c r="AE139" s="30">
        <f>G139*0</f>
        <v>0</v>
      </c>
      <c r="AF139" s="30">
        <f>G139*(1-0)</f>
        <v>0</v>
      </c>
    </row>
    <row r="140" spans="1:32" ht="12.75">
      <c r="A140" s="10" t="s">
        <v>111</v>
      </c>
      <c r="B140" s="10" t="s">
        <v>260</v>
      </c>
      <c r="C140" s="10" t="s">
        <v>280</v>
      </c>
      <c r="D140" s="10" t="s">
        <v>440</v>
      </c>
      <c r="E140" s="10" t="s">
        <v>615</v>
      </c>
      <c r="F140" s="30">
        <v>96.31</v>
      </c>
      <c r="H140" s="30">
        <f>ROUND(F140*AE140,2)</f>
        <v>0</v>
      </c>
      <c r="I140" s="30">
        <f>J140-H140</f>
        <v>0</v>
      </c>
      <c r="J140" s="30">
        <f>ROUND(F140*G140,2)</f>
        <v>0</v>
      </c>
      <c r="K140" s="30">
        <v>0</v>
      </c>
      <c r="L140" s="30">
        <f>F140*K140</f>
        <v>0</v>
      </c>
      <c r="N140" s="50" t="s">
        <v>7</v>
      </c>
      <c r="O140" s="30">
        <f>IF(N140="5",I140,0)</f>
        <v>0</v>
      </c>
      <c r="Z140" s="30">
        <f>IF(AD140=0,J140,0)</f>
        <v>0</v>
      </c>
      <c r="AA140" s="30">
        <f>IF(AD140=15,J140,0)</f>
        <v>0</v>
      </c>
      <c r="AB140" s="30">
        <f>IF(AD140=21,J140,0)</f>
        <v>0</v>
      </c>
      <c r="AD140" s="30">
        <v>21</v>
      </c>
      <c r="AE140" s="30">
        <f>G140*0</f>
        <v>0</v>
      </c>
      <c r="AF140" s="30">
        <f>G140*(1-0)</f>
        <v>0</v>
      </c>
    </row>
    <row r="141" spans="1:32" ht="12.75">
      <c r="A141" s="10" t="s">
        <v>112</v>
      </c>
      <c r="B141" s="10" t="s">
        <v>260</v>
      </c>
      <c r="C141" s="10" t="s">
        <v>281</v>
      </c>
      <c r="D141" s="10" t="s">
        <v>441</v>
      </c>
      <c r="E141" s="10" t="s">
        <v>615</v>
      </c>
      <c r="F141" s="30">
        <v>25.85</v>
      </c>
      <c r="H141" s="30">
        <f>ROUND(F141*AE141,2)</f>
        <v>0</v>
      </c>
      <c r="I141" s="30">
        <f>J141-H141</f>
        <v>0</v>
      </c>
      <c r="J141" s="30">
        <f>ROUND(F141*G141,2)</f>
        <v>0</v>
      </c>
      <c r="K141" s="30">
        <v>0</v>
      </c>
      <c r="L141" s="30">
        <f>F141*K141</f>
        <v>0</v>
      </c>
      <c r="N141" s="50" t="s">
        <v>7</v>
      </c>
      <c r="O141" s="30">
        <f>IF(N141="5",I141,0)</f>
        <v>0</v>
      </c>
      <c r="Z141" s="30">
        <f>IF(AD141=0,J141,0)</f>
        <v>0</v>
      </c>
      <c r="AA141" s="30">
        <f>IF(AD141=15,J141,0)</f>
        <v>0</v>
      </c>
      <c r="AB141" s="30">
        <f>IF(AD141=21,J141,0)</f>
        <v>0</v>
      </c>
      <c r="AD141" s="30">
        <v>21</v>
      </c>
      <c r="AE141" s="30">
        <f>G141*0</f>
        <v>0</v>
      </c>
      <c r="AF141" s="30">
        <f>G141*(1-0)</f>
        <v>0</v>
      </c>
    </row>
    <row r="142" spans="1:37" ht="12.75">
      <c r="A142" s="9"/>
      <c r="B142" s="9"/>
      <c r="C142" s="20" t="s">
        <v>24</v>
      </c>
      <c r="D142" s="25" t="s">
        <v>442</v>
      </c>
      <c r="E142" s="28"/>
      <c r="F142" s="28"/>
      <c r="G142" s="28"/>
      <c r="H142" s="52">
        <f>SUM(H143:H146)</f>
        <v>0</v>
      </c>
      <c r="I142" s="52">
        <f>SUM(I143:I146)</f>
        <v>0</v>
      </c>
      <c r="J142" s="52">
        <f>H142+I142</f>
        <v>0</v>
      </c>
      <c r="K142" s="44"/>
      <c r="L142" s="52">
        <f>SUM(L143:L146)</f>
        <v>0</v>
      </c>
      <c r="P142" s="52">
        <f>IF(Q142="PR",J142,SUM(O143:O146))</f>
        <v>0</v>
      </c>
      <c r="Q142" s="44" t="s">
        <v>641</v>
      </c>
      <c r="R142" s="52">
        <f>IF(Q142="HS",H142,0)</f>
        <v>0</v>
      </c>
      <c r="S142" s="52">
        <f>IF(Q142="HS",I142-P142,0)</f>
        <v>0</v>
      </c>
      <c r="T142" s="52">
        <f>IF(Q142="PS",H142,0)</f>
        <v>0</v>
      </c>
      <c r="U142" s="52">
        <f>IF(Q142="PS",I142-P142,0)</f>
        <v>0</v>
      </c>
      <c r="V142" s="52">
        <f>IF(Q142="MP",H142,0)</f>
        <v>0</v>
      </c>
      <c r="W142" s="52">
        <f>IF(Q142="MP",I142-P142,0)</f>
        <v>0</v>
      </c>
      <c r="X142" s="52">
        <f>IF(Q142="OM",H142,0)</f>
        <v>0</v>
      </c>
      <c r="Y142" s="44" t="s">
        <v>260</v>
      </c>
      <c r="AI142" s="52">
        <f>SUM(Z143:Z146)</f>
        <v>0</v>
      </c>
      <c r="AJ142" s="52">
        <f>SUM(AA143:AA146)</f>
        <v>0</v>
      </c>
      <c r="AK142" s="52">
        <f>SUM(AB143:AB146)</f>
        <v>0</v>
      </c>
    </row>
    <row r="143" spans="1:32" ht="12.75">
      <c r="A143" s="10" t="s">
        <v>113</v>
      </c>
      <c r="B143" s="10" t="s">
        <v>260</v>
      </c>
      <c r="C143" s="10" t="s">
        <v>284</v>
      </c>
      <c r="D143" s="10" t="s">
        <v>445</v>
      </c>
      <c r="E143" s="10" t="s">
        <v>612</v>
      </c>
      <c r="F143" s="30">
        <v>336.34</v>
      </c>
      <c r="H143" s="30">
        <f>ROUND(F143*AE143,2)</f>
        <v>0</v>
      </c>
      <c r="I143" s="30">
        <f>J143-H143</f>
        <v>0</v>
      </c>
      <c r="J143" s="30">
        <f>ROUND(F143*G143,2)</f>
        <v>0</v>
      </c>
      <c r="K143" s="30">
        <v>0</v>
      </c>
      <c r="L143" s="30">
        <f>F143*K143</f>
        <v>0</v>
      </c>
      <c r="N143" s="50" t="s">
        <v>7</v>
      </c>
      <c r="O143" s="30">
        <f>IF(N143="5",I143,0)</f>
        <v>0</v>
      </c>
      <c r="Z143" s="30">
        <f>IF(AD143=0,J143,0)</f>
        <v>0</v>
      </c>
      <c r="AA143" s="30">
        <f>IF(AD143=15,J143,0)</f>
        <v>0</v>
      </c>
      <c r="AB143" s="30">
        <f>IF(AD143=21,J143,0)</f>
        <v>0</v>
      </c>
      <c r="AD143" s="30">
        <v>21</v>
      </c>
      <c r="AE143" s="30">
        <f>G143*0</f>
        <v>0</v>
      </c>
      <c r="AF143" s="30">
        <f>G143*(1-0)</f>
        <v>0</v>
      </c>
    </row>
    <row r="144" spans="1:32" ht="12.75">
      <c r="A144" s="10" t="s">
        <v>114</v>
      </c>
      <c r="B144" s="10" t="s">
        <v>260</v>
      </c>
      <c r="C144" s="10" t="s">
        <v>282</v>
      </c>
      <c r="D144" s="10" t="s">
        <v>443</v>
      </c>
      <c r="E144" s="10" t="s">
        <v>612</v>
      </c>
      <c r="F144" s="30">
        <v>200.56</v>
      </c>
      <c r="H144" s="30">
        <f>ROUND(F144*AE144,2)</f>
        <v>0</v>
      </c>
      <c r="I144" s="30">
        <f>J144-H144</f>
        <v>0</v>
      </c>
      <c r="J144" s="30">
        <f>ROUND(F144*G144,2)</f>
        <v>0</v>
      </c>
      <c r="K144" s="30">
        <v>0</v>
      </c>
      <c r="L144" s="30">
        <f>F144*K144</f>
        <v>0</v>
      </c>
      <c r="N144" s="50" t="s">
        <v>7</v>
      </c>
      <c r="O144" s="30">
        <f>IF(N144="5",I144,0)</f>
        <v>0</v>
      </c>
      <c r="Z144" s="30">
        <f>IF(AD144=0,J144,0)</f>
        <v>0</v>
      </c>
      <c r="AA144" s="30">
        <f>IF(AD144=15,J144,0)</f>
        <v>0</v>
      </c>
      <c r="AB144" s="30">
        <f>IF(AD144=21,J144,0)</f>
        <v>0</v>
      </c>
      <c r="AD144" s="30">
        <v>21</v>
      </c>
      <c r="AE144" s="30">
        <f>G144*0</f>
        <v>0</v>
      </c>
      <c r="AF144" s="30">
        <f>G144*(1-0)</f>
        <v>0</v>
      </c>
    </row>
    <row r="145" spans="1:32" ht="12.75">
      <c r="A145" s="10" t="s">
        <v>115</v>
      </c>
      <c r="B145" s="10" t="s">
        <v>260</v>
      </c>
      <c r="C145" s="10" t="s">
        <v>344</v>
      </c>
      <c r="D145" s="10" t="s">
        <v>516</v>
      </c>
      <c r="E145" s="10" t="s">
        <v>615</v>
      </c>
      <c r="F145" s="30">
        <v>4.77</v>
      </c>
      <c r="H145" s="30">
        <f>ROUND(F145*AE145,2)</f>
        <v>0</v>
      </c>
      <c r="I145" s="30">
        <f>J145-H145</f>
        <v>0</v>
      </c>
      <c r="J145" s="30">
        <f>ROUND(F145*G145,2)</f>
        <v>0</v>
      </c>
      <c r="K145" s="30">
        <v>0</v>
      </c>
      <c r="L145" s="30">
        <f>F145*K145</f>
        <v>0</v>
      </c>
      <c r="N145" s="50" t="s">
        <v>9</v>
      </c>
      <c r="O145" s="30">
        <f>IF(N145="5",I145,0)</f>
        <v>0</v>
      </c>
      <c r="Z145" s="30">
        <f>IF(AD145=0,J145,0)</f>
        <v>0</v>
      </c>
      <c r="AA145" s="30">
        <f>IF(AD145=15,J145,0)</f>
        <v>0</v>
      </c>
      <c r="AB145" s="30">
        <f>IF(AD145=21,J145,0)</f>
        <v>0</v>
      </c>
      <c r="AD145" s="30">
        <v>21</v>
      </c>
      <c r="AE145" s="30">
        <f>G145*0</f>
        <v>0</v>
      </c>
      <c r="AF145" s="30">
        <f>G145*(1-0)</f>
        <v>0</v>
      </c>
    </row>
    <row r="146" spans="1:32" ht="12.75">
      <c r="A146" s="10" t="s">
        <v>116</v>
      </c>
      <c r="B146" s="10" t="s">
        <v>260</v>
      </c>
      <c r="C146" s="10" t="s">
        <v>283</v>
      </c>
      <c r="D146" s="10" t="s">
        <v>444</v>
      </c>
      <c r="E146" s="10" t="s">
        <v>612</v>
      </c>
      <c r="F146" s="30">
        <v>33.46</v>
      </c>
      <c r="H146" s="30">
        <f>ROUND(F146*AE146,2)</f>
        <v>0</v>
      </c>
      <c r="I146" s="30">
        <f>J146-H146</f>
        <v>0</v>
      </c>
      <c r="J146" s="30">
        <f>ROUND(F146*G146,2)</f>
        <v>0</v>
      </c>
      <c r="K146" s="30">
        <v>0</v>
      </c>
      <c r="L146" s="30">
        <f>F146*K146</f>
        <v>0</v>
      </c>
      <c r="N146" s="50" t="s">
        <v>7</v>
      </c>
      <c r="O146" s="30">
        <f>IF(N146="5",I146,0)</f>
        <v>0</v>
      </c>
      <c r="Z146" s="30">
        <f>IF(AD146=0,J146,0)</f>
        <v>0</v>
      </c>
      <c r="AA146" s="30">
        <f>IF(AD146=15,J146,0)</f>
        <v>0</v>
      </c>
      <c r="AB146" s="30">
        <f>IF(AD146=21,J146,0)</f>
        <v>0</v>
      </c>
      <c r="AD146" s="30">
        <v>21</v>
      </c>
      <c r="AE146" s="30">
        <f>G146*0</f>
        <v>0</v>
      </c>
      <c r="AF146" s="30">
        <f>G146*(1-0)</f>
        <v>0</v>
      </c>
    </row>
    <row r="147" spans="1:37" ht="12.75">
      <c r="A147" s="9"/>
      <c r="B147" s="9"/>
      <c r="C147" s="20" t="s">
        <v>39</v>
      </c>
      <c r="D147" s="25" t="s">
        <v>517</v>
      </c>
      <c r="E147" s="28"/>
      <c r="F147" s="28"/>
      <c r="G147" s="28"/>
      <c r="H147" s="52">
        <f>SUM(H148:H151)</f>
        <v>0</v>
      </c>
      <c r="I147" s="52">
        <f>SUM(I148:I151)</f>
        <v>0</v>
      </c>
      <c r="J147" s="52">
        <f>H147+I147</f>
        <v>0</v>
      </c>
      <c r="K147" s="44"/>
      <c r="L147" s="52">
        <f>SUM(L148:L151)</f>
        <v>9.00895466</v>
      </c>
      <c r="P147" s="52">
        <f>IF(Q147="PR",J147,SUM(O148:O151))</f>
        <v>0</v>
      </c>
      <c r="Q147" s="44" t="s">
        <v>641</v>
      </c>
      <c r="R147" s="52">
        <f>IF(Q147="HS",H147,0)</f>
        <v>0</v>
      </c>
      <c r="S147" s="52">
        <f>IF(Q147="HS",I147-P147,0)</f>
        <v>0</v>
      </c>
      <c r="T147" s="52">
        <f>IF(Q147="PS",H147,0)</f>
        <v>0</v>
      </c>
      <c r="U147" s="52">
        <f>IF(Q147="PS",I147-P147,0)</f>
        <v>0</v>
      </c>
      <c r="V147" s="52">
        <f>IF(Q147="MP",H147,0)</f>
        <v>0</v>
      </c>
      <c r="W147" s="52">
        <f>IF(Q147="MP",I147-P147,0)</f>
        <v>0</v>
      </c>
      <c r="X147" s="52">
        <f>IF(Q147="OM",H147,0)</f>
        <v>0</v>
      </c>
      <c r="Y147" s="44" t="s">
        <v>260</v>
      </c>
      <c r="AI147" s="52">
        <f>SUM(Z148:Z151)</f>
        <v>0</v>
      </c>
      <c r="AJ147" s="52">
        <f>SUM(AA148:AA151)</f>
        <v>0</v>
      </c>
      <c r="AK147" s="52">
        <f>SUM(AB148:AB151)</f>
        <v>0</v>
      </c>
    </row>
    <row r="148" spans="1:32" ht="12.75">
      <c r="A148" s="10" t="s">
        <v>117</v>
      </c>
      <c r="B148" s="10" t="s">
        <v>260</v>
      </c>
      <c r="C148" s="10" t="s">
        <v>345</v>
      </c>
      <c r="D148" s="10" t="s">
        <v>518</v>
      </c>
      <c r="E148" s="10" t="s">
        <v>616</v>
      </c>
      <c r="F148" s="30">
        <v>104.85</v>
      </c>
      <c r="H148" s="30">
        <f>ROUND(F148*AE148,2)</f>
        <v>0</v>
      </c>
      <c r="I148" s="30">
        <f>J148-H148</f>
        <v>0</v>
      </c>
      <c r="J148" s="30">
        <f>ROUND(F148*G148,2)</f>
        <v>0</v>
      </c>
      <c r="K148" s="30">
        <v>0.01184</v>
      </c>
      <c r="L148" s="30">
        <f>F148*K148</f>
        <v>1.2414239999999999</v>
      </c>
      <c r="N148" s="50" t="s">
        <v>9</v>
      </c>
      <c r="O148" s="30">
        <f>IF(N148="5",I148,0)</f>
        <v>0</v>
      </c>
      <c r="Z148" s="30">
        <f>IF(AD148=0,J148,0)</f>
        <v>0</v>
      </c>
      <c r="AA148" s="30">
        <f>IF(AD148=15,J148,0)</f>
        <v>0</v>
      </c>
      <c r="AB148" s="30">
        <f>IF(AD148=21,J148,0)</f>
        <v>0</v>
      </c>
      <c r="AD148" s="30">
        <v>21</v>
      </c>
      <c r="AE148" s="30">
        <f>G148*0.0648255220733283</f>
        <v>0</v>
      </c>
      <c r="AF148" s="30">
        <f>G148*(1-0.0648255220733283)</f>
        <v>0</v>
      </c>
    </row>
    <row r="149" spans="1:32" ht="12.75">
      <c r="A149" s="10" t="s">
        <v>118</v>
      </c>
      <c r="B149" s="10" t="s">
        <v>260</v>
      </c>
      <c r="C149" s="10" t="s">
        <v>346</v>
      </c>
      <c r="D149" s="10" t="s">
        <v>519</v>
      </c>
      <c r="E149" s="10" t="s">
        <v>613</v>
      </c>
      <c r="F149" s="30">
        <v>35</v>
      </c>
      <c r="H149" s="30">
        <f>ROUND(F149*AE149,2)</f>
        <v>0</v>
      </c>
      <c r="I149" s="30">
        <f>J149-H149</f>
        <v>0</v>
      </c>
      <c r="J149" s="30">
        <f>ROUND(F149*G149,2)</f>
        <v>0</v>
      </c>
      <c r="K149" s="30">
        <v>0.07</v>
      </c>
      <c r="L149" s="30">
        <f>F149*K149</f>
        <v>2.45</v>
      </c>
      <c r="N149" s="50" t="s">
        <v>266</v>
      </c>
      <c r="O149" s="30">
        <f>IF(N149="5",I149,0)</f>
        <v>0</v>
      </c>
      <c r="Z149" s="30">
        <f>IF(AD149=0,J149,0)</f>
        <v>0</v>
      </c>
      <c r="AA149" s="30">
        <f>IF(AD149=15,J149,0)</f>
        <v>0</v>
      </c>
      <c r="AB149" s="30">
        <f>IF(AD149=21,J149,0)</f>
        <v>0</v>
      </c>
      <c r="AD149" s="30">
        <v>21</v>
      </c>
      <c r="AE149" s="30">
        <f>G149*1</f>
        <v>0</v>
      </c>
      <c r="AF149" s="30">
        <f>G149*(1-1)</f>
        <v>0</v>
      </c>
    </row>
    <row r="150" spans="1:32" ht="12.75">
      <c r="A150" s="10" t="s">
        <v>119</v>
      </c>
      <c r="B150" s="10" t="s">
        <v>260</v>
      </c>
      <c r="C150" s="10" t="s">
        <v>347</v>
      </c>
      <c r="D150" s="10" t="s">
        <v>520</v>
      </c>
      <c r="E150" s="10" t="s">
        <v>621</v>
      </c>
      <c r="F150" s="30">
        <v>1.0485</v>
      </c>
      <c r="H150" s="30">
        <f>ROUND(F150*AE150,2)</f>
        <v>0</v>
      </c>
      <c r="I150" s="30">
        <f>J150-H150</f>
        <v>0</v>
      </c>
      <c r="J150" s="30">
        <f>ROUND(F150*G150,2)</f>
        <v>0</v>
      </c>
      <c r="K150" s="30">
        <v>5.07156</v>
      </c>
      <c r="L150" s="30">
        <f>F150*K150</f>
        <v>5.31753066</v>
      </c>
      <c r="N150" s="50" t="s">
        <v>9</v>
      </c>
      <c r="O150" s="30">
        <f>IF(N150="5",I150,0)</f>
        <v>0</v>
      </c>
      <c r="Z150" s="30">
        <f>IF(AD150=0,J150,0)</f>
        <v>0</v>
      </c>
      <c r="AA150" s="30">
        <f>IF(AD150=15,J150,0)</f>
        <v>0</v>
      </c>
      <c r="AB150" s="30">
        <f>IF(AD150=21,J150,0)</f>
        <v>0</v>
      </c>
      <c r="AD150" s="30">
        <v>21</v>
      </c>
      <c r="AE150" s="30">
        <f>G150*0.7702155581088</f>
        <v>0</v>
      </c>
      <c r="AF150" s="30">
        <f>G150*(1-0.7702155581088)</f>
        <v>0</v>
      </c>
    </row>
    <row r="151" spans="1:32" ht="12.75">
      <c r="A151" s="10" t="s">
        <v>120</v>
      </c>
      <c r="B151" s="10" t="s">
        <v>260</v>
      </c>
      <c r="C151" s="10" t="s">
        <v>348</v>
      </c>
      <c r="D151" s="10" t="s">
        <v>521</v>
      </c>
      <c r="E151" s="10" t="s">
        <v>614</v>
      </c>
      <c r="F151" s="30">
        <v>9.01</v>
      </c>
      <c r="H151" s="30">
        <f>ROUND(F151*AE151,2)</f>
        <v>0</v>
      </c>
      <c r="I151" s="30">
        <f>J151-H151</f>
        <v>0</v>
      </c>
      <c r="J151" s="30">
        <f>ROUND(F151*G151,2)</f>
        <v>0</v>
      </c>
      <c r="K151" s="30">
        <v>0</v>
      </c>
      <c r="L151" s="30">
        <f>F151*K151</f>
        <v>0</v>
      </c>
      <c r="N151" s="50" t="s">
        <v>11</v>
      </c>
      <c r="O151" s="30">
        <f>IF(N151="5",I151,0)</f>
        <v>0</v>
      </c>
      <c r="Z151" s="30">
        <f>IF(AD151=0,J151,0)</f>
        <v>0</v>
      </c>
      <c r="AA151" s="30">
        <f>IF(AD151=15,J151,0)</f>
        <v>0</v>
      </c>
      <c r="AB151" s="30">
        <f>IF(AD151=21,J151,0)</f>
        <v>0</v>
      </c>
      <c r="AD151" s="30">
        <v>21</v>
      </c>
      <c r="AE151" s="30">
        <f>G151*0</f>
        <v>0</v>
      </c>
      <c r="AF151" s="30">
        <f>G151*(1-0)</f>
        <v>0</v>
      </c>
    </row>
    <row r="152" spans="1:37" ht="12.75">
      <c r="A152" s="9"/>
      <c r="B152" s="9"/>
      <c r="C152" s="20" t="s">
        <v>63</v>
      </c>
      <c r="D152" s="25" t="s">
        <v>461</v>
      </c>
      <c r="E152" s="28"/>
      <c r="F152" s="28"/>
      <c r="G152" s="28"/>
      <c r="H152" s="52">
        <f>SUM(H153:H155)</f>
        <v>0</v>
      </c>
      <c r="I152" s="52">
        <f>SUM(I153:I155)</f>
        <v>0</v>
      </c>
      <c r="J152" s="52">
        <f>H152+I152</f>
        <v>0</v>
      </c>
      <c r="K152" s="44"/>
      <c r="L152" s="52">
        <f>SUM(L153:L155)</f>
        <v>124.704461</v>
      </c>
      <c r="P152" s="52">
        <f>IF(Q152="PR",J152,SUM(O153:O155))</f>
        <v>0</v>
      </c>
      <c r="Q152" s="44" t="s">
        <v>641</v>
      </c>
      <c r="R152" s="52">
        <f>IF(Q152="HS",H152,0)</f>
        <v>0</v>
      </c>
      <c r="S152" s="52">
        <f>IF(Q152="HS",I152-P152,0)</f>
        <v>0</v>
      </c>
      <c r="T152" s="52">
        <f>IF(Q152="PS",H152,0)</f>
        <v>0</v>
      </c>
      <c r="U152" s="52">
        <f>IF(Q152="PS",I152-P152,0)</f>
        <v>0</v>
      </c>
      <c r="V152" s="52">
        <f>IF(Q152="MP",H152,0)</f>
        <v>0</v>
      </c>
      <c r="W152" s="52">
        <f>IF(Q152="MP",I152-P152,0)</f>
        <v>0</v>
      </c>
      <c r="X152" s="52">
        <f>IF(Q152="OM",H152,0)</f>
        <v>0</v>
      </c>
      <c r="Y152" s="44" t="s">
        <v>260</v>
      </c>
      <c r="AI152" s="52">
        <f>SUM(Z153:Z155)</f>
        <v>0</v>
      </c>
      <c r="AJ152" s="52">
        <f>SUM(AA153:AA155)</f>
        <v>0</v>
      </c>
      <c r="AK152" s="52">
        <f>SUM(AB153:AB155)</f>
        <v>0</v>
      </c>
    </row>
    <row r="153" spans="1:32" ht="12.75">
      <c r="A153" s="10" t="s">
        <v>121</v>
      </c>
      <c r="B153" s="10" t="s">
        <v>260</v>
      </c>
      <c r="C153" s="10" t="s">
        <v>349</v>
      </c>
      <c r="D153" s="10" t="s">
        <v>522</v>
      </c>
      <c r="E153" s="10" t="s">
        <v>612</v>
      </c>
      <c r="F153" s="30">
        <v>95.06</v>
      </c>
      <c r="H153" s="30">
        <f>ROUND(F153*AE153,2)</f>
        <v>0</v>
      </c>
      <c r="I153" s="30">
        <f>J153-H153</f>
        <v>0</v>
      </c>
      <c r="J153" s="30">
        <f>ROUND(F153*G153,2)</f>
        <v>0</v>
      </c>
      <c r="K153" s="30">
        <v>1.31185</v>
      </c>
      <c r="L153" s="30">
        <f>F153*K153</f>
        <v>124.704461</v>
      </c>
      <c r="N153" s="50" t="s">
        <v>9</v>
      </c>
      <c r="O153" s="30">
        <f>IF(N153="5",I153,0)</f>
        <v>0</v>
      </c>
      <c r="Z153" s="30">
        <f>IF(AD153=0,J153,0)</f>
        <v>0</v>
      </c>
      <c r="AA153" s="30">
        <f>IF(AD153=15,J153,0)</f>
        <v>0</v>
      </c>
      <c r="AB153" s="30">
        <f>IF(AD153=21,J153,0)</f>
        <v>0</v>
      </c>
      <c r="AD153" s="30">
        <v>21</v>
      </c>
      <c r="AE153" s="30">
        <f>G153*0.817982133988094</f>
        <v>0</v>
      </c>
      <c r="AF153" s="30">
        <f>G153*(1-0.817982133988094)</f>
        <v>0</v>
      </c>
    </row>
    <row r="154" spans="1:32" ht="12.75">
      <c r="A154" s="10" t="s">
        <v>122</v>
      </c>
      <c r="B154" s="10" t="s">
        <v>260</v>
      </c>
      <c r="C154" s="10" t="s">
        <v>300</v>
      </c>
      <c r="D154" s="10" t="s">
        <v>464</v>
      </c>
      <c r="E154" s="10" t="s">
        <v>614</v>
      </c>
      <c r="F154" s="30">
        <v>124.7045</v>
      </c>
      <c r="H154" s="30">
        <f>ROUND(F154*AE154,2)</f>
        <v>0</v>
      </c>
      <c r="I154" s="30">
        <f>J154-H154</f>
        <v>0</v>
      </c>
      <c r="J154" s="30">
        <f>ROUND(F154*G154,2)</f>
        <v>0</v>
      </c>
      <c r="K154" s="30">
        <v>0</v>
      </c>
      <c r="L154" s="30">
        <f>F154*K154</f>
        <v>0</v>
      </c>
      <c r="N154" s="50" t="s">
        <v>11</v>
      </c>
      <c r="O154" s="30">
        <f>IF(N154="5",I154,0)</f>
        <v>0</v>
      </c>
      <c r="Z154" s="30">
        <f>IF(AD154=0,J154,0)</f>
        <v>0</v>
      </c>
      <c r="AA154" s="30">
        <f>IF(AD154=15,J154,0)</f>
        <v>0</v>
      </c>
      <c r="AB154" s="30">
        <f>IF(AD154=21,J154,0)</f>
        <v>0</v>
      </c>
      <c r="AD154" s="30">
        <v>21</v>
      </c>
      <c r="AE154" s="30">
        <f>G154*0</f>
        <v>0</v>
      </c>
      <c r="AF154" s="30">
        <f>G154*(1-0)</f>
        <v>0</v>
      </c>
    </row>
    <row r="155" spans="1:32" ht="12.75">
      <c r="A155" s="10" t="s">
        <v>123</v>
      </c>
      <c r="B155" s="10" t="s">
        <v>260</v>
      </c>
      <c r="C155" s="10" t="s">
        <v>301</v>
      </c>
      <c r="D155" s="10" t="s">
        <v>465</v>
      </c>
      <c r="E155" s="10" t="s">
        <v>614</v>
      </c>
      <c r="F155" s="30">
        <v>498.82</v>
      </c>
      <c r="H155" s="30">
        <f>ROUND(F155*AE155,2)</f>
        <v>0</v>
      </c>
      <c r="I155" s="30">
        <f>J155-H155</f>
        <v>0</v>
      </c>
      <c r="J155" s="30">
        <f>ROUND(F155*G155,2)</f>
        <v>0</v>
      </c>
      <c r="K155" s="30">
        <v>0</v>
      </c>
      <c r="L155" s="30">
        <f>F155*K155</f>
        <v>0</v>
      </c>
      <c r="N155" s="50" t="s">
        <v>11</v>
      </c>
      <c r="O155" s="30">
        <f>IF(N155="5",I155,0)</f>
        <v>0</v>
      </c>
      <c r="Z155" s="30">
        <f>IF(AD155=0,J155,0)</f>
        <v>0</v>
      </c>
      <c r="AA155" s="30">
        <f>IF(AD155=15,J155,0)</f>
        <v>0</v>
      </c>
      <c r="AB155" s="30">
        <f>IF(AD155=21,J155,0)</f>
        <v>0</v>
      </c>
      <c r="AD155" s="30">
        <v>21</v>
      </c>
      <c r="AE155" s="30">
        <f>G155*0</f>
        <v>0</v>
      </c>
      <c r="AF155" s="30">
        <f>G155*(1-0)</f>
        <v>0</v>
      </c>
    </row>
    <row r="156" spans="1:37" ht="12.75">
      <c r="A156" s="9"/>
      <c r="B156" s="9"/>
      <c r="C156" s="20" t="s">
        <v>65</v>
      </c>
      <c r="D156" s="25" t="s">
        <v>466</v>
      </c>
      <c r="E156" s="28"/>
      <c r="F156" s="28"/>
      <c r="G156" s="28"/>
      <c r="H156" s="52">
        <f>SUM(H157:H160)</f>
        <v>0</v>
      </c>
      <c r="I156" s="52">
        <f>SUM(I157:I160)</f>
        <v>0</v>
      </c>
      <c r="J156" s="52">
        <f>H156+I156</f>
        <v>0</v>
      </c>
      <c r="K156" s="44"/>
      <c r="L156" s="52">
        <f>SUM(L157:L160)</f>
        <v>93.30882399999999</v>
      </c>
      <c r="P156" s="52">
        <f>IF(Q156="PR",J156,SUM(O157:O160))</f>
        <v>0</v>
      </c>
      <c r="Q156" s="44" t="s">
        <v>641</v>
      </c>
      <c r="R156" s="52">
        <f>IF(Q156="HS",H156,0)</f>
        <v>0</v>
      </c>
      <c r="S156" s="52">
        <f>IF(Q156="HS",I156-P156,0)</f>
        <v>0</v>
      </c>
      <c r="T156" s="52">
        <f>IF(Q156="PS",H156,0)</f>
        <v>0</v>
      </c>
      <c r="U156" s="52">
        <f>IF(Q156="PS",I156-P156,0)</f>
        <v>0</v>
      </c>
      <c r="V156" s="52">
        <f>IF(Q156="MP",H156,0)</f>
        <v>0</v>
      </c>
      <c r="W156" s="52">
        <f>IF(Q156="MP",I156-P156,0)</f>
        <v>0</v>
      </c>
      <c r="X156" s="52">
        <f>IF(Q156="OM",H156,0)</f>
        <v>0</v>
      </c>
      <c r="Y156" s="44" t="s">
        <v>260</v>
      </c>
      <c r="AI156" s="52">
        <f>SUM(Z157:Z160)</f>
        <v>0</v>
      </c>
      <c r="AJ156" s="52">
        <f>SUM(AA157:AA160)</f>
        <v>0</v>
      </c>
      <c r="AK156" s="52">
        <f>SUM(AB157:AB160)</f>
        <v>0</v>
      </c>
    </row>
    <row r="157" spans="1:32" ht="12.75">
      <c r="A157" s="10" t="s">
        <v>124</v>
      </c>
      <c r="B157" s="10" t="s">
        <v>260</v>
      </c>
      <c r="C157" s="10" t="s">
        <v>303</v>
      </c>
      <c r="D157" s="10" t="s">
        <v>468</v>
      </c>
      <c r="E157" s="10" t="s">
        <v>612</v>
      </c>
      <c r="F157" s="30">
        <v>156.07</v>
      </c>
      <c r="H157" s="30">
        <f>ROUND(F157*AE157,2)</f>
        <v>0</v>
      </c>
      <c r="I157" s="30">
        <f>J157-H157</f>
        <v>0</v>
      </c>
      <c r="J157" s="30">
        <f>ROUND(F157*G157,2)</f>
        <v>0</v>
      </c>
      <c r="K157" s="30">
        <v>0.57848</v>
      </c>
      <c r="L157" s="30">
        <f>F157*K157</f>
        <v>90.28337359999999</v>
      </c>
      <c r="N157" s="50" t="s">
        <v>9</v>
      </c>
      <c r="O157" s="30">
        <f>IF(N157="5",I157,0)</f>
        <v>0</v>
      </c>
      <c r="Z157" s="30">
        <f>IF(AD157=0,J157,0)</f>
        <v>0</v>
      </c>
      <c r="AA157" s="30">
        <f>IF(AD157=15,J157,0)</f>
        <v>0</v>
      </c>
      <c r="AB157" s="30">
        <f>IF(AD157=21,J157,0)</f>
        <v>0</v>
      </c>
      <c r="AD157" s="30">
        <v>21</v>
      </c>
      <c r="AE157" s="30">
        <f>G157*0.622299227777077</f>
        <v>0</v>
      </c>
      <c r="AF157" s="30">
        <f>G157*(1-0.622299227777077)</f>
        <v>0</v>
      </c>
    </row>
    <row r="158" spans="1:32" ht="12.75">
      <c r="A158" s="10" t="s">
        <v>125</v>
      </c>
      <c r="B158" s="10" t="s">
        <v>260</v>
      </c>
      <c r="C158" s="10" t="s">
        <v>303</v>
      </c>
      <c r="D158" s="10" t="s">
        <v>523</v>
      </c>
      <c r="E158" s="10" t="s">
        <v>612</v>
      </c>
      <c r="F158" s="30">
        <v>5.23</v>
      </c>
      <c r="H158" s="30">
        <f>ROUND(F158*AE158,2)</f>
        <v>0</v>
      </c>
      <c r="I158" s="30">
        <f>J158-H158</f>
        <v>0</v>
      </c>
      <c r="J158" s="30">
        <f>ROUND(F158*G158,2)</f>
        <v>0</v>
      </c>
      <c r="K158" s="30">
        <v>0.57848</v>
      </c>
      <c r="L158" s="30">
        <f>F158*K158</f>
        <v>3.0254504000000004</v>
      </c>
      <c r="N158" s="50" t="s">
        <v>9</v>
      </c>
      <c r="O158" s="30">
        <f>IF(N158="5",I158,0)</f>
        <v>0</v>
      </c>
      <c r="Z158" s="30">
        <f>IF(AD158=0,J158,0)</f>
        <v>0</v>
      </c>
      <c r="AA158" s="30">
        <f>IF(AD158=15,J158,0)</f>
        <v>0</v>
      </c>
      <c r="AB158" s="30">
        <f>IF(AD158=21,J158,0)</f>
        <v>0</v>
      </c>
      <c r="AD158" s="30">
        <v>21</v>
      </c>
      <c r="AE158" s="30">
        <f>G158*0.622299227777077</f>
        <v>0</v>
      </c>
      <c r="AF158" s="30">
        <f>G158*(1-0.622299227777077)</f>
        <v>0</v>
      </c>
    </row>
    <row r="159" spans="1:32" ht="12.75">
      <c r="A159" s="10" t="s">
        <v>126</v>
      </c>
      <c r="B159" s="10" t="s">
        <v>260</v>
      </c>
      <c r="C159" s="10" t="s">
        <v>296</v>
      </c>
      <c r="D159" s="10" t="s">
        <v>459</v>
      </c>
      <c r="E159" s="10" t="s">
        <v>614</v>
      </c>
      <c r="F159" s="30">
        <v>93.3088</v>
      </c>
      <c r="H159" s="30">
        <f>ROUND(F159*AE159,2)</f>
        <v>0</v>
      </c>
      <c r="I159" s="30">
        <f>J159-H159</f>
        <v>0</v>
      </c>
      <c r="J159" s="30">
        <f>ROUND(F159*G159,2)</f>
        <v>0</v>
      </c>
      <c r="K159" s="30">
        <v>0</v>
      </c>
      <c r="L159" s="30">
        <f>F159*K159</f>
        <v>0</v>
      </c>
      <c r="N159" s="50" t="s">
        <v>11</v>
      </c>
      <c r="O159" s="30">
        <f>IF(N159="5",I159,0)</f>
        <v>0</v>
      </c>
      <c r="Z159" s="30">
        <f>IF(AD159=0,J159,0)</f>
        <v>0</v>
      </c>
      <c r="AA159" s="30">
        <f>IF(AD159=15,J159,0)</f>
        <v>0</v>
      </c>
      <c r="AB159" s="30">
        <f>IF(AD159=21,J159,0)</f>
        <v>0</v>
      </c>
      <c r="AD159" s="30">
        <v>21</v>
      </c>
      <c r="AE159" s="30">
        <f>G159*0</f>
        <v>0</v>
      </c>
      <c r="AF159" s="30">
        <f>G159*(1-0)</f>
        <v>0</v>
      </c>
    </row>
    <row r="160" spans="1:32" ht="12.75">
      <c r="A160" s="10" t="s">
        <v>127</v>
      </c>
      <c r="B160" s="10" t="s">
        <v>260</v>
      </c>
      <c r="C160" s="10" t="s">
        <v>297</v>
      </c>
      <c r="D160" s="10" t="s">
        <v>460</v>
      </c>
      <c r="E160" s="10" t="s">
        <v>614</v>
      </c>
      <c r="F160" s="30">
        <v>186.62</v>
      </c>
      <c r="H160" s="30">
        <f>ROUND(F160*AE160,2)</f>
        <v>0</v>
      </c>
      <c r="I160" s="30">
        <f>J160-H160</f>
        <v>0</v>
      </c>
      <c r="J160" s="30">
        <f>ROUND(F160*G160,2)</f>
        <v>0</v>
      </c>
      <c r="K160" s="30">
        <v>0</v>
      </c>
      <c r="L160" s="30">
        <f>F160*K160</f>
        <v>0</v>
      </c>
      <c r="N160" s="50" t="s">
        <v>11</v>
      </c>
      <c r="O160" s="30">
        <f>IF(N160="5",I160,0)</f>
        <v>0</v>
      </c>
      <c r="Z160" s="30">
        <f>IF(AD160=0,J160,0)</f>
        <v>0</v>
      </c>
      <c r="AA160" s="30">
        <f>IF(AD160=15,J160,0)</f>
        <v>0</v>
      </c>
      <c r="AB160" s="30">
        <f>IF(AD160=21,J160,0)</f>
        <v>0</v>
      </c>
      <c r="AD160" s="30">
        <v>21</v>
      </c>
      <c r="AE160" s="30">
        <f>G160*0</f>
        <v>0</v>
      </c>
      <c r="AF160" s="30">
        <f>G160*(1-0)</f>
        <v>0</v>
      </c>
    </row>
    <row r="161" spans="1:37" ht="12.75">
      <c r="A161" s="9"/>
      <c r="B161" s="9"/>
      <c r="C161" s="20" t="s">
        <v>95</v>
      </c>
      <c r="D161" s="25" t="s">
        <v>473</v>
      </c>
      <c r="E161" s="28"/>
      <c r="F161" s="28"/>
      <c r="G161" s="28"/>
      <c r="H161" s="52">
        <f>SUM(H162:H163)</f>
        <v>0</v>
      </c>
      <c r="I161" s="52">
        <f>SUM(I162:I163)</f>
        <v>0</v>
      </c>
      <c r="J161" s="52">
        <f>H161+I161</f>
        <v>0</v>
      </c>
      <c r="K161" s="44"/>
      <c r="L161" s="52">
        <f>SUM(L162:L163)</f>
        <v>0</v>
      </c>
      <c r="P161" s="52">
        <f>IF(Q161="PR",J161,SUM(O162:O163))</f>
        <v>0</v>
      </c>
      <c r="Q161" s="44" t="s">
        <v>641</v>
      </c>
      <c r="R161" s="52">
        <f>IF(Q161="HS",H161,0)</f>
        <v>0</v>
      </c>
      <c r="S161" s="52">
        <f>IF(Q161="HS",I161-P161,0)</f>
        <v>0</v>
      </c>
      <c r="T161" s="52">
        <f>IF(Q161="PS",H161,0)</f>
        <v>0</v>
      </c>
      <c r="U161" s="52">
        <f>IF(Q161="PS",I161-P161,0)</f>
        <v>0</v>
      </c>
      <c r="V161" s="52">
        <f>IF(Q161="MP",H161,0)</f>
        <v>0</v>
      </c>
      <c r="W161" s="52">
        <f>IF(Q161="MP",I161-P161,0)</f>
        <v>0</v>
      </c>
      <c r="X161" s="52">
        <f>IF(Q161="OM",H161,0)</f>
        <v>0</v>
      </c>
      <c r="Y161" s="44" t="s">
        <v>260</v>
      </c>
      <c r="AI161" s="52">
        <f>SUM(Z162:Z163)</f>
        <v>0</v>
      </c>
      <c r="AJ161" s="52">
        <f>SUM(AA162:AA163)</f>
        <v>0</v>
      </c>
      <c r="AK161" s="52">
        <f>SUM(AB162:AB163)</f>
        <v>0</v>
      </c>
    </row>
    <row r="162" spans="1:32" ht="12.75">
      <c r="A162" s="10" t="s">
        <v>128</v>
      </c>
      <c r="B162" s="10" t="s">
        <v>260</v>
      </c>
      <c r="C162" s="10" t="s">
        <v>309</v>
      </c>
      <c r="D162" s="10" t="s">
        <v>474</v>
      </c>
      <c r="E162" s="10" t="s">
        <v>611</v>
      </c>
      <c r="F162" s="30">
        <v>1</v>
      </c>
      <c r="H162" s="30">
        <f>ROUND(F162*AE162,2)</f>
        <v>0</v>
      </c>
      <c r="I162" s="30">
        <f>J162-H162</f>
        <v>0</v>
      </c>
      <c r="J162" s="30">
        <f>ROUND(F162*G162,2)</f>
        <v>0</v>
      </c>
      <c r="K162" s="30">
        <v>0</v>
      </c>
      <c r="L162" s="30">
        <f>F162*K162</f>
        <v>0</v>
      </c>
      <c r="N162" s="50" t="s">
        <v>7</v>
      </c>
      <c r="O162" s="30">
        <f>IF(N162="5",I162,0)</f>
        <v>0</v>
      </c>
      <c r="Z162" s="30">
        <f>IF(AD162=0,J162,0)</f>
        <v>0</v>
      </c>
      <c r="AA162" s="30">
        <f>IF(AD162=15,J162,0)</f>
        <v>0</v>
      </c>
      <c r="AB162" s="30">
        <f>IF(AD162=21,J162,0)</f>
        <v>0</v>
      </c>
      <c r="AD162" s="30">
        <v>21</v>
      </c>
      <c r="AE162" s="30">
        <f>G162*0</f>
        <v>0</v>
      </c>
      <c r="AF162" s="30">
        <f>G162*(1-0)</f>
        <v>0</v>
      </c>
    </row>
    <row r="163" spans="1:32" ht="12.75">
      <c r="A163" s="10" t="s">
        <v>129</v>
      </c>
      <c r="B163" s="10" t="s">
        <v>260</v>
      </c>
      <c r="C163" s="10" t="s">
        <v>310</v>
      </c>
      <c r="D163" s="10" t="s">
        <v>475</v>
      </c>
      <c r="E163" s="10" t="s">
        <v>619</v>
      </c>
      <c r="F163" s="30">
        <v>5</v>
      </c>
      <c r="H163" s="30">
        <f>ROUND(F163*AE163,2)</f>
        <v>0</v>
      </c>
      <c r="I163" s="30">
        <f>J163-H163</f>
        <v>0</v>
      </c>
      <c r="J163" s="30">
        <f>ROUND(F163*G163,2)</f>
        <v>0</v>
      </c>
      <c r="K163" s="30">
        <v>0</v>
      </c>
      <c r="L163" s="30">
        <f>F163*K163</f>
        <v>0</v>
      </c>
      <c r="N163" s="50" t="s">
        <v>7</v>
      </c>
      <c r="O163" s="30">
        <f>IF(N163="5",I163,0)</f>
        <v>0</v>
      </c>
      <c r="Z163" s="30">
        <f>IF(AD163=0,J163,0)</f>
        <v>0</v>
      </c>
      <c r="AA163" s="30">
        <f>IF(AD163=15,J163,0)</f>
        <v>0</v>
      </c>
      <c r="AB163" s="30">
        <f>IF(AD163=21,J163,0)</f>
        <v>0</v>
      </c>
      <c r="AD163" s="30">
        <v>21</v>
      </c>
      <c r="AE163" s="30">
        <f>G163*0</f>
        <v>0</v>
      </c>
      <c r="AF163" s="30">
        <f>G163*(1-0)</f>
        <v>0</v>
      </c>
    </row>
    <row r="164" spans="1:37" ht="12.75">
      <c r="A164" s="9"/>
      <c r="B164" s="9"/>
      <c r="C164" s="20" t="s">
        <v>97</v>
      </c>
      <c r="D164" s="25" t="s">
        <v>476</v>
      </c>
      <c r="E164" s="28"/>
      <c r="F164" s="28"/>
      <c r="G164" s="28"/>
      <c r="H164" s="52">
        <f>SUM(H165:H170)</f>
        <v>0</v>
      </c>
      <c r="I164" s="52">
        <f>SUM(I165:I170)</f>
        <v>0</v>
      </c>
      <c r="J164" s="52">
        <f>H164+I164</f>
        <v>0</v>
      </c>
      <c r="K164" s="44"/>
      <c r="L164" s="52">
        <f>SUM(L165:L170)</f>
        <v>64.802031</v>
      </c>
      <c r="P164" s="52">
        <f>IF(Q164="PR",J164,SUM(O165:O170))</f>
        <v>0</v>
      </c>
      <c r="Q164" s="44" t="s">
        <v>641</v>
      </c>
      <c r="R164" s="52">
        <f>IF(Q164="HS",H164,0)</f>
        <v>0</v>
      </c>
      <c r="S164" s="52">
        <f>IF(Q164="HS",I164-P164,0)</f>
        <v>0</v>
      </c>
      <c r="T164" s="52">
        <f>IF(Q164="PS",H164,0)</f>
        <v>0</v>
      </c>
      <c r="U164" s="52">
        <f>IF(Q164="PS",I164-P164,0)</f>
        <v>0</v>
      </c>
      <c r="V164" s="52">
        <f>IF(Q164="MP",H164,0)</f>
        <v>0</v>
      </c>
      <c r="W164" s="52">
        <f>IF(Q164="MP",I164-P164,0)</f>
        <v>0</v>
      </c>
      <c r="X164" s="52">
        <f>IF(Q164="OM",H164,0)</f>
        <v>0</v>
      </c>
      <c r="Y164" s="44" t="s">
        <v>260</v>
      </c>
      <c r="AI164" s="52">
        <f>SUM(Z165:Z170)</f>
        <v>0</v>
      </c>
      <c r="AJ164" s="52">
        <f>SUM(AA165:AA170)</f>
        <v>0</v>
      </c>
      <c r="AK164" s="52">
        <f>SUM(AB165:AB170)</f>
        <v>0</v>
      </c>
    </row>
    <row r="165" spans="1:32" ht="12.75">
      <c r="A165" s="10" t="s">
        <v>130</v>
      </c>
      <c r="B165" s="10" t="s">
        <v>260</v>
      </c>
      <c r="C165" s="10" t="s">
        <v>311</v>
      </c>
      <c r="D165" s="10" t="s">
        <v>477</v>
      </c>
      <c r="E165" s="10" t="s">
        <v>616</v>
      </c>
      <c r="F165" s="30">
        <v>107.4</v>
      </c>
      <c r="H165" s="30">
        <f aca="true" t="shared" si="70" ref="H165:H170">ROUND(F165*AE165,2)</f>
        <v>0</v>
      </c>
      <c r="I165" s="30">
        <f aca="true" t="shared" si="71" ref="I165:I170">J165-H165</f>
        <v>0</v>
      </c>
      <c r="J165" s="30">
        <f aca="true" t="shared" si="72" ref="J165:J170">ROUND(F165*G165,2)</f>
        <v>0</v>
      </c>
      <c r="K165" s="30">
        <v>0</v>
      </c>
      <c r="L165" s="30">
        <f aca="true" t="shared" si="73" ref="L165:L170">F165*K165</f>
        <v>0</v>
      </c>
      <c r="N165" s="50" t="s">
        <v>7</v>
      </c>
      <c r="O165" s="30">
        <f aca="true" t="shared" si="74" ref="O165:O170">IF(N165="5",I165,0)</f>
        <v>0</v>
      </c>
      <c r="Z165" s="30">
        <f aca="true" t="shared" si="75" ref="Z165:Z170">IF(AD165=0,J165,0)</f>
        <v>0</v>
      </c>
      <c r="AA165" s="30">
        <f aca="true" t="shared" si="76" ref="AA165:AA170">IF(AD165=15,J165,0)</f>
        <v>0</v>
      </c>
      <c r="AB165" s="30">
        <f aca="true" t="shared" si="77" ref="AB165:AB170">IF(AD165=21,J165,0)</f>
        <v>0</v>
      </c>
      <c r="AD165" s="30">
        <v>21</v>
      </c>
      <c r="AE165" s="30">
        <f>G165*0.658058107772535</f>
        <v>0</v>
      </c>
      <c r="AF165" s="30">
        <f>G165*(1-0.658058107772535)</f>
        <v>0</v>
      </c>
    </row>
    <row r="166" spans="1:32" ht="12.75">
      <c r="A166" s="10" t="s">
        <v>131</v>
      </c>
      <c r="B166" s="10" t="s">
        <v>260</v>
      </c>
      <c r="C166" s="10" t="s">
        <v>312</v>
      </c>
      <c r="D166" s="10" t="s">
        <v>478</v>
      </c>
      <c r="E166" s="10" t="s">
        <v>616</v>
      </c>
      <c r="F166" s="30">
        <v>107.4</v>
      </c>
      <c r="H166" s="30">
        <f t="shared" si="70"/>
        <v>0</v>
      </c>
      <c r="I166" s="30">
        <f t="shared" si="71"/>
        <v>0</v>
      </c>
      <c r="J166" s="30">
        <f t="shared" si="72"/>
        <v>0</v>
      </c>
      <c r="K166" s="30">
        <v>0</v>
      </c>
      <c r="L166" s="30">
        <f t="shared" si="73"/>
        <v>0</v>
      </c>
      <c r="N166" s="50" t="s">
        <v>7</v>
      </c>
      <c r="O166" s="30">
        <f t="shared" si="74"/>
        <v>0</v>
      </c>
      <c r="Z166" s="30">
        <f t="shared" si="75"/>
        <v>0</v>
      </c>
      <c r="AA166" s="30">
        <f t="shared" si="76"/>
        <v>0</v>
      </c>
      <c r="AB166" s="30">
        <f t="shared" si="77"/>
        <v>0</v>
      </c>
      <c r="AD166" s="30">
        <v>21</v>
      </c>
      <c r="AE166" s="30">
        <f>G166*0</f>
        <v>0</v>
      </c>
      <c r="AF166" s="30">
        <f>G166*(1-0)</f>
        <v>0</v>
      </c>
    </row>
    <row r="167" spans="1:32" ht="12.75">
      <c r="A167" s="10" t="s">
        <v>132</v>
      </c>
      <c r="B167" s="10" t="s">
        <v>260</v>
      </c>
      <c r="C167" s="10" t="s">
        <v>313</v>
      </c>
      <c r="D167" s="10" t="s">
        <v>479</v>
      </c>
      <c r="E167" s="10" t="s">
        <v>616</v>
      </c>
      <c r="F167" s="30">
        <v>107.4</v>
      </c>
      <c r="H167" s="30">
        <f t="shared" si="70"/>
        <v>0</v>
      </c>
      <c r="I167" s="30">
        <f t="shared" si="71"/>
        <v>0</v>
      </c>
      <c r="J167" s="30">
        <f t="shared" si="72"/>
        <v>0</v>
      </c>
      <c r="K167" s="30">
        <v>0.0043</v>
      </c>
      <c r="L167" s="30">
        <f t="shared" si="73"/>
        <v>0.46182</v>
      </c>
      <c r="N167" s="50" t="s">
        <v>7</v>
      </c>
      <c r="O167" s="30">
        <f t="shared" si="74"/>
        <v>0</v>
      </c>
      <c r="Z167" s="30">
        <f t="shared" si="75"/>
        <v>0</v>
      </c>
      <c r="AA167" s="30">
        <f t="shared" si="76"/>
        <v>0</v>
      </c>
      <c r="AB167" s="30">
        <f t="shared" si="77"/>
        <v>0</v>
      </c>
      <c r="AD167" s="30">
        <v>21</v>
      </c>
      <c r="AE167" s="30">
        <f>G167*0.591760006266155</f>
        <v>0</v>
      </c>
      <c r="AF167" s="30">
        <f>G167*(1-0.591760006266155)</f>
        <v>0</v>
      </c>
    </row>
    <row r="168" spans="1:32" ht="12.75">
      <c r="A168" s="10" t="s">
        <v>133</v>
      </c>
      <c r="B168" s="10" t="s">
        <v>260</v>
      </c>
      <c r="C168" s="10" t="s">
        <v>304</v>
      </c>
      <c r="D168" s="10" t="s">
        <v>470</v>
      </c>
      <c r="E168" s="10" t="s">
        <v>616</v>
      </c>
      <c r="F168" s="30">
        <v>214.8</v>
      </c>
      <c r="H168" s="30">
        <f t="shared" si="70"/>
        <v>0</v>
      </c>
      <c r="I168" s="30">
        <f t="shared" si="71"/>
        <v>0</v>
      </c>
      <c r="J168" s="30">
        <f t="shared" si="72"/>
        <v>0</v>
      </c>
      <c r="K168" s="30">
        <v>0.0942</v>
      </c>
      <c r="L168" s="30">
        <f t="shared" si="73"/>
        <v>20.234160000000003</v>
      </c>
      <c r="N168" s="50" t="s">
        <v>7</v>
      </c>
      <c r="O168" s="30">
        <f t="shared" si="74"/>
        <v>0</v>
      </c>
      <c r="Z168" s="30">
        <f t="shared" si="75"/>
        <v>0</v>
      </c>
      <c r="AA168" s="30">
        <f t="shared" si="76"/>
        <v>0</v>
      </c>
      <c r="AB168" s="30">
        <f t="shared" si="77"/>
        <v>0</v>
      </c>
      <c r="AD168" s="30">
        <v>21</v>
      </c>
      <c r="AE168" s="30">
        <f>G168*0.728278873663605</f>
        <v>0</v>
      </c>
      <c r="AF168" s="30">
        <f>G168*(1-0.728278873663605)</f>
        <v>0</v>
      </c>
    </row>
    <row r="169" spans="1:32" ht="12.75">
      <c r="A169" s="10" t="s">
        <v>134</v>
      </c>
      <c r="B169" s="10" t="s">
        <v>260</v>
      </c>
      <c r="C169" s="10" t="s">
        <v>306</v>
      </c>
      <c r="D169" s="10" t="s">
        <v>471</v>
      </c>
      <c r="E169" s="10" t="s">
        <v>616</v>
      </c>
      <c r="F169" s="30">
        <v>107.4</v>
      </c>
      <c r="H169" s="30">
        <f t="shared" si="70"/>
        <v>0</v>
      </c>
      <c r="I169" s="30">
        <f t="shared" si="71"/>
        <v>0</v>
      </c>
      <c r="J169" s="30">
        <f t="shared" si="72"/>
        <v>0</v>
      </c>
      <c r="K169" s="30">
        <v>0.19049</v>
      </c>
      <c r="L169" s="30">
        <f t="shared" si="73"/>
        <v>20.458626</v>
      </c>
      <c r="N169" s="50" t="s">
        <v>7</v>
      </c>
      <c r="O169" s="30">
        <f t="shared" si="74"/>
        <v>0</v>
      </c>
      <c r="Z169" s="30">
        <f t="shared" si="75"/>
        <v>0</v>
      </c>
      <c r="AA169" s="30">
        <f t="shared" si="76"/>
        <v>0</v>
      </c>
      <c r="AB169" s="30">
        <f t="shared" si="77"/>
        <v>0</v>
      </c>
      <c r="AD169" s="30">
        <v>21</v>
      </c>
      <c r="AE169" s="30">
        <f>G169*0.800036506342977</f>
        <v>0</v>
      </c>
      <c r="AF169" s="30">
        <f>G169*(1-0.800036506342977)</f>
        <v>0</v>
      </c>
    </row>
    <row r="170" spans="1:32" ht="12.75">
      <c r="A170" s="10" t="s">
        <v>135</v>
      </c>
      <c r="B170" s="10" t="s">
        <v>260</v>
      </c>
      <c r="C170" s="10" t="s">
        <v>305</v>
      </c>
      <c r="D170" s="10" t="s">
        <v>471</v>
      </c>
      <c r="E170" s="10" t="s">
        <v>616</v>
      </c>
      <c r="F170" s="30">
        <v>109.1</v>
      </c>
      <c r="H170" s="30">
        <f t="shared" si="70"/>
        <v>0</v>
      </c>
      <c r="I170" s="30">
        <f t="shared" si="71"/>
        <v>0</v>
      </c>
      <c r="J170" s="30">
        <f t="shared" si="72"/>
        <v>0</v>
      </c>
      <c r="K170" s="30">
        <v>0.21675</v>
      </c>
      <c r="L170" s="30">
        <f t="shared" si="73"/>
        <v>23.647425</v>
      </c>
      <c r="N170" s="50" t="s">
        <v>7</v>
      </c>
      <c r="O170" s="30">
        <f t="shared" si="74"/>
        <v>0</v>
      </c>
      <c r="Z170" s="30">
        <f t="shared" si="75"/>
        <v>0</v>
      </c>
      <c r="AA170" s="30">
        <f t="shared" si="76"/>
        <v>0</v>
      </c>
      <c r="AB170" s="30">
        <f t="shared" si="77"/>
        <v>0</v>
      </c>
      <c r="AD170" s="30">
        <v>21</v>
      </c>
      <c r="AE170" s="30">
        <f>G170*0.814043624635754</f>
        <v>0</v>
      </c>
      <c r="AF170" s="30">
        <f>G170*(1-0.814043624635754)</f>
        <v>0</v>
      </c>
    </row>
    <row r="171" spans="1:37" ht="12.75">
      <c r="A171" s="9"/>
      <c r="B171" s="9"/>
      <c r="C171" s="20" t="s">
        <v>350</v>
      </c>
      <c r="D171" s="25" t="s">
        <v>524</v>
      </c>
      <c r="E171" s="28"/>
      <c r="F171" s="28"/>
      <c r="G171" s="28"/>
      <c r="H171" s="52">
        <f>SUM(H172:H172)</f>
        <v>0</v>
      </c>
      <c r="I171" s="52">
        <f>SUM(I172:I172)</f>
        <v>0</v>
      </c>
      <c r="J171" s="52">
        <f>H171+I171</f>
        <v>0</v>
      </c>
      <c r="K171" s="44"/>
      <c r="L171" s="52">
        <f>SUM(L172:L172)</f>
        <v>0</v>
      </c>
      <c r="P171" s="52">
        <f>IF(Q171="PR",J171,SUM(O172:O172))</f>
        <v>0</v>
      </c>
      <c r="Q171" s="44" t="s">
        <v>642</v>
      </c>
      <c r="R171" s="52">
        <f>IF(Q171="HS",H171,0)</f>
        <v>0</v>
      </c>
      <c r="S171" s="52">
        <f>IF(Q171="HS",I171-P171,0)</f>
        <v>0</v>
      </c>
      <c r="T171" s="52">
        <f>IF(Q171="PS",H171,0)</f>
        <v>0</v>
      </c>
      <c r="U171" s="52">
        <f>IF(Q171="PS",I171-P171,0)</f>
        <v>0</v>
      </c>
      <c r="V171" s="52">
        <f>IF(Q171="MP",H171,0)</f>
        <v>0</v>
      </c>
      <c r="W171" s="52">
        <f>IF(Q171="MP",I171-P171,0)</f>
        <v>0</v>
      </c>
      <c r="X171" s="52">
        <f>IF(Q171="OM",H171,0)</f>
        <v>0</v>
      </c>
      <c r="Y171" s="44" t="s">
        <v>260</v>
      </c>
      <c r="AI171" s="52">
        <f>SUM(Z172:Z172)</f>
        <v>0</v>
      </c>
      <c r="AJ171" s="52">
        <f>SUM(AA172:AA172)</f>
        <v>0</v>
      </c>
      <c r="AK171" s="52">
        <f>SUM(AB172:AB172)</f>
        <v>0</v>
      </c>
    </row>
    <row r="172" spans="1:32" ht="12.75">
      <c r="A172" s="10" t="s">
        <v>136</v>
      </c>
      <c r="B172" s="10" t="s">
        <v>260</v>
      </c>
      <c r="C172" s="10" t="s">
        <v>351</v>
      </c>
      <c r="D172" s="10" t="s">
        <v>525</v>
      </c>
      <c r="E172" s="10" t="s">
        <v>611</v>
      </c>
      <c r="F172" s="30">
        <v>1</v>
      </c>
      <c r="H172" s="30">
        <f>ROUND(F172*AE172,2)</f>
        <v>0</v>
      </c>
      <c r="I172" s="30">
        <f>J172-H172</f>
        <v>0</v>
      </c>
      <c r="J172" s="30">
        <f>ROUND(F172*G172,2)</f>
        <v>0</v>
      </c>
      <c r="K172" s="30">
        <v>0</v>
      </c>
      <c r="L172" s="30">
        <f>F172*K172</f>
        <v>0</v>
      </c>
      <c r="N172" s="50" t="s">
        <v>8</v>
      </c>
      <c r="O172" s="30">
        <f>IF(N172="5",I172,0)</f>
        <v>0</v>
      </c>
      <c r="Z172" s="30">
        <f>IF(AD172=0,J172,0)</f>
        <v>0</v>
      </c>
      <c r="AA172" s="30">
        <f>IF(AD172=15,J172,0)</f>
        <v>0</v>
      </c>
      <c r="AB172" s="30">
        <f>IF(AD172=21,J172,0)</f>
        <v>0</v>
      </c>
      <c r="AD172" s="30">
        <v>21</v>
      </c>
      <c r="AE172" s="30">
        <f>G172*0</f>
        <v>0</v>
      </c>
      <c r="AF172" s="30">
        <f>G172*(1-0)</f>
        <v>0</v>
      </c>
    </row>
    <row r="173" spans="1:37" ht="12.75">
      <c r="A173" s="9"/>
      <c r="B173" s="9"/>
      <c r="C173" s="20" t="s">
        <v>352</v>
      </c>
      <c r="D173" s="25" t="s">
        <v>526</v>
      </c>
      <c r="E173" s="28"/>
      <c r="F173" s="28"/>
      <c r="G173" s="28"/>
      <c r="H173" s="52">
        <f>SUM(H174:H175)</f>
        <v>0</v>
      </c>
      <c r="I173" s="52">
        <f>SUM(I174:I175)</f>
        <v>0</v>
      </c>
      <c r="J173" s="52">
        <f>H173+I173</f>
        <v>0</v>
      </c>
      <c r="K173" s="44"/>
      <c r="L173" s="52">
        <f>SUM(L174:L175)</f>
        <v>0</v>
      </c>
      <c r="P173" s="52">
        <f>IF(Q173="PR",J173,SUM(O174:O175))</f>
        <v>0</v>
      </c>
      <c r="Q173" s="44" t="s">
        <v>644</v>
      </c>
      <c r="R173" s="52">
        <f>IF(Q173="HS",H173,0)</f>
        <v>0</v>
      </c>
      <c r="S173" s="52">
        <f>IF(Q173="HS",I173-P173,0)</f>
        <v>0</v>
      </c>
      <c r="T173" s="52">
        <f>IF(Q173="PS",H173,0)</f>
        <v>0</v>
      </c>
      <c r="U173" s="52">
        <f>IF(Q173="PS",I173-P173,0)</f>
        <v>0</v>
      </c>
      <c r="V173" s="52">
        <f>IF(Q173="MP",H173,0)</f>
        <v>0</v>
      </c>
      <c r="W173" s="52">
        <f>IF(Q173="MP",I173-P173,0)</f>
        <v>0</v>
      </c>
      <c r="X173" s="52">
        <f>IF(Q173="OM",H173,0)</f>
        <v>0</v>
      </c>
      <c r="Y173" s="44" t="s">
        <v>260</v>
      </c>
      <c r="AI173" s="52">
        <f>SUM(Z174:Z175)</f>
        <v>0</v>
      </c>
      <c r="AJ173" s="52">
        <f>SUM(AA174:AA175)</f>
        <v>0</v>
      </c>
      <c r="AK173" s="52">
        <f>SUM(AB174:AB175)</f>
        <v>0</v>
      </c>
    </row>
    <row r="174" spans="1:32" ht="12.75">
      <c r="A174" s="10" t="s">
        <v>137</v>
      </c>
      <c r="B174" s="10" t="s">
        <v>260</v>
      </c>
      <c r="C174" s="10" t="s">
        <v>275</v>
      </c>
      <c r="D174" s="10" t="s">
        <v>434</v>
      </c>
      <c r="E174" s="10" t="s">
        <v>614</v>
      </c>
      <c r="F174" s="30">
        <v>55.13</v>
      </c>
      <c r="H174" s="30">
        <f>ROUND(F174*AE174,2)</f>
        <v>0</v>
      </c>
      <c r="I174" s="30">
        <f>J174-H174</f>
        <v>0</v>
      </c>
      <c r="J174" s="30">
        <f>ROUND(F174*G174,2)</f>
        <v>0</v>
      </c>
      <c r="K174" s="30">
        <v>0</v>
      </c>
      <c r="L174" s="30">
        <f>F174*K174</f>
        <v>0</v>
      </c>
      <c r="N174" s="50" t="s">
        <v>11</v>
      </c>
      <c r="O174" s="30">
        <f>IF(N174="5",I174,0)</f>
        <v>0</v>
      </c>
      <c r="Z174" s="30">
        <f>IF(AD174=0,J174,0)</f>
        <v>0</v>
      </c>
      <c r="AA174" s="30">
        <f>IF(AD174=15,J174,0)</f>
        <v>0</v>
      </c>
      <c r="AB174" s="30">
        <f>IF(AD174=21,J174,0)</f>
        <v>0</v>
      </c>
      <c r="AD174" s="30">
        <v>21</v>
      </c>
      <c r="AE174" s="30">
        <f>G174*0</f>
        <v>0</v>
      </c>
      <c r="AF174" s="30">
        <f>G174*(1-0)</f>
        <v>0</v>
      </c>
    </row>
    <row r="175" spans="1:32" ht="12.75">
      <c r="A175" s="10" t="s">
        <v>138</v>
      </c>
      <c r="B175" s="10" t="s">
        <v>260</v>
      </c>
      <c r="C175" s="10" t="s">
        <v>276</v>
      </c>
      <c r="D175" s="10" t="s">
        <v>435</v>
      </c>
      <c r="E175" s="10" t="s">
        <v>614</v>
      </c>
      <c r="F175" s="30">
        <v>441</v>
      </c>
      <c r="H175" s="30">
        <f>ROUND(F175*AE175,2)</f>
        <v>0</v>
      </c>
      <c r="I175" s="30">
        <f>J175-H175</f>
        <v>0</v>
      </c>
      <c r="J175" s="30">
        <f>ROUND(F175*G175,2)</f>
        <v>0</v>
      </c>
      <c r="K175" s="30">
        <v>0</v>
      </c>
      <c r="L175" s="30">
        <f>F175*K175</f>
        <v>0</v>
      </c>
      <c r="N175" s="50" t="s">
        <v>11</v>
      </c>
      <c r="O175" s="30">
        <f>IF(N175="5",I175,0)</f>
        <v>0</v>
      </c>
      <c r="Z175" s="30">
        <f>IF(AD175=0,J175,0)</f>
        <v>0</v>
      </c>
      <c r="AA175" s="30">
        <f>IF(AD175=15,J175,0)</f>
        <v>0</v>
      </c>
      <c r="AB175" s="30">
        <f>IF(AD175=21,J175,0)</f>
        <v>0</v>
      </c>
      <c r="AD175" s="30">
        <v>21</v>
      </c>
      <c r="AE175" s="30">
        <f>G175*0</f>
        <v>0</v>
      </c>
      <c r="AF175" s="30">
        <f>G175*(1-0)</f>
        <v>0</v>
      </c>
    </row>
    <row r="176" spans="1:37" ht="12.75">
      <c r="A176" s="9"/>
      <c r="B176" s="9"/>
      <c r="C176" s="20"/>
      <c r="D176" s="25" t="s">
        <v>487</v>
      </c>
      <c r="E176" s="28"/>
      <c r="F176" s="28"/>
      <c r="G176" s="28"/>
      <c r="H176" s="52">
        <f>SUM(H177:H177)</f>
        <v>0</v>
      </c>
      <c r="I176" s="52">
        <f>SUM(I177:I177)</f>
        <v>0</v>
      </c>
      <c r="J176" s="52">
        <f>H176+I176</f>
        <v>0</v>
      </c>
      <c r="K176" s="44"/>
      <c r="L176" s="52">
        <f>SUM(L177:L177)</f>
        <v>11.43</v>
      </c>
      <c r="P176" s="52">
        <f>IF(Q176="PR",J176,SUM(O177:O177))</f>
        <v>0</v>
      </c>
      <c r="Q176" s="44" t="s">
        <v>643</v>
      </c>
      <c r="R176" s="52">
        <f>IF(Q176="HS",H176,0)</f>
        <v>0</v>
      </c>
      <c r="S176" s="52">
        <f>IF(Q176="HS",I176-P176,0)</f>
        <v>0</v>
      </c>
      <c r="T176" s="52">
        <f>IF(Q176="PS",H176,0)</f>
        <v>0</v>
      </c>
      <c r="U176" s="52">
        <f>IF(Q176="PS",I176-P176,0)</f>
        <v>0</v>
      </c>
      <c r="V176" s="52">
        <f>IF(Q176="MP",H176,0)</f>
        <v>0</v>
      </c>
      <c r="W176" s="52">
        <f>IF(Q176="MP",I176-P176,0)</f>
        <v>0</v>
      </c>
      <c r="X176" s="52">
        <f>IF(Q176="OM",H176,0)</f>
        <v>0</v>
      </c>
      <c r="Y176" s="44" t="s">
        <v>260</v>
      </c>
      <c r="AI176" s="52">
        <f>SUM(Z177:Z177)</f>
        <v>0</v>
      </c>
      <c r="AJ176" s="52">
        <f>SUM(AA177:AA177)</f>
        <v>0</v>
      </c>
      <c r="AK176" s="52">
        <f>SUM(AB177:AB177)</f>
        <v>0</v>
      </c>
    </row>
    <row r="177" spans="1:32" ht="12.75">
      <c r="A177" s="10" t="s">
        <v>139</v>
      </c>
      <c r="B177" s="10" t="s">
        <v>260</v>
      </c>
      <c r="C177" s="10" t="s">
        <v>322</v>
      </c>
      <c r="D177" s="10" t="s">
        <v>489</v>
      </c>
      <c r="E177" s="10" t="s">
        <v>620</v>
      </c>
      <c r="F177" s="30">
        <v>11.43</v>
      </c>
      <c r="H177" s="30">
        <f>ROUND(F177*AE177,2)</f>
        <v>0</v>
      </c>
      <c r="I177" s="30">
        <f>J177-H177</f>
        <v>0</v>
      </c>
      <c r="J177" s="30">
        <f>ROUND(F177*G177,2)</f>
        <v>0</v>
      </c>
      <c r="K177" s="30">
        <v>1</v>
      </c>
      <c r="L177" s="30">
        <f>F177*K177</f>
        <v>11.43</v>
      </c>
      <c r="N177" s="50" t="s">
        <v>266</v>
      </c>
      <c r="O177" s="30">
        <f>IF(N177="5",I177,0)</f>
        <v>0</v>
      </c>
      <c r="Z177" s="30">
        <f>IF(AD177=0,J177,0)</f>
        <v>0</v>
      </c>
      <c r="AA177" s="30">
        <f>IF(AD177=15,J177,0)</f>
        <v>0</v>
      </c>
      <c r="AB177" s="30">
        <f>IF(AD177=21,J177,0)</f>
        <v>0</v>
      </c>
      <c r="AD177" s="30">
        <v>21</v>
      </c>
      <c r="AE177" s="30">
        <f>G177*1</f>
        <v>0</v>
      </c>
      <c r="AF177" s="30">
        <f>G177*(1-1)</f>
        <v>0</v>
      </c>
    </row>
    <row r="178" spans="1:12" ht="12.75">
      <c r="A178" s="9"/>
      <c r="B178" s="9"/>
      <c r="C178" s="20"/>
      <c r="D178" s="25" t="s">
        <v>527</v>
      </c>
      <c r="E178" s="28"/>
      <c r="F178" s="28"/>
      <c r="G178" s="28"/>
      <c r="H178" s="52">
        <f>H179+H181+H185+H188+H191+H194+H198+H201+H206+H210+H216</f>
        <v>0</v>
      </c>
      <c r="I178" s="52">
        <f>I179+I181+I185+I188+I191+I194+I198+I201+I206+I210+I216</f>
        <v>0</v>
      </c>
      <c r="J178" s="52">
        <f>H178+I178</f>
        <v>0</v>
      </c>
      <c r="K178" s="44"/>
      <c r="L178" s="52">
        <f>L179+L181+L185+L188+L191+L194+L198+L201+L206+L210+L216</f>
        <v>111.7818888</v>
      </c>
    </row>
    <row r="179" spans="1:37" ht="12.75">
      <c r="A179" s="9"/>
      <c r="B179" s="9"/>
      <c r="C179" s="20" t="s">
        <v>266</v>
      </c>
      <c r="D179" s="25" t="s">
        <v>424</v>
      </c>
      <c r="E179" s="28"/>
      <c r="F179" s="28"/>
      <c r="G179" s="28"/>
      <c r="H179" s="52">
        <f>SUM(H180:H180)</f>
        <v>0</v>
      </c>
      <c r="I179" s="52">
        <f>SUM(I180:I180)</f>
        <v>0</v>
      </c>
      <c r="J179" s="52">
        <f>H179+I179</f>
        <v>0</v>
      </c>
      <c r="K179" s="44"/>
      <c r="L179" s="52">
        <f>SUM(L180:L180)</f>
        <v>0</v>
      </c>
      <c r="P179" s="52">
        <f>IF(Q179="PR",J179,SUM(O180:O180))</f>
        <v>0</v>
      </c>
      <c r="Q179" s="44" t="s">
        <v>641</v>
      </c>
      <c r="R179" s="52">
        <f>IF(Q179="HS",H179,0)</f>
        <v>0</v>
      </c>
      <c r="S179" s="52">
        <f>IF(Q179="HS",I179-P179,0)</f>
        <v>0</v>
      </c>
      <c r="T179" s="52">
        <f>IF(Q179="PS",H179,0)</f>
        <v>0</v>
      </c>
      <c r="U179" s="52">
        <f>IF(Q179="PS",I179-P179,0)</f>
        <v>0</v>
      </c>
      <c r="V179" s="52">
        <f>IF(Q179="MP",H179,0)</f>
        <v>0</v>
      </c>
      <c r="W179" s="52">
        <f>IF(Q179="MP",I179-P179,0)</f>
        <v>0</v>
      </c>
      <c r="X179" s="52">
        <f>IF(Q179="OM",H179,0)</f>
        <v>0</v>
      </c>
      <c r="Y179" s="44" t="s">
        <v>261</v>
      </c>
      <c r="AI179" s="52">
        <f>SUM(Z180:Z180)</f>
        <v>0</v>
      </c>
      <c r="AJ179" s="52">
        <f>SUM(AA180:AA180)</f>
        <v>0</v>
      </c>
      <c r="AK179" s="52">
        <f>SUM(AB180:AB180)</f>
        <v>0</v>
      </c>
    </row>
    <row r="180" spans="1:32" ht="12.75">
      <c r="A180" s="10" t="s">
        <v>140</v>
      </c>
      <c r="B180" s="10" t="s">
        <v>261</v>
      </c>
      <c r="C180" s="10" t="s">
        <v>267</v>
      </c>
      <c r="D180" s="10" t="s">
        <v>528</v>
      </c>
      <c r="E180" s="10" t="s">
        <v>611</v>
      </c>
      <c r="F180" s="30">
        <v>1</v>
      </c>
      <c r="H180" s="30">
        <f>ROUND(F180*AE180,2)</f>
        <v>0</v>
      </c>
      <c r="I180" s="30">
        <f>J180-H180</f>
        <v>0</v>
      </c>
      <c r="J180" s="30">
        <f>ROUND(F180*G180,2)</f>
        <v>0</v>
      </c>
      <c r="K180" s="30">
        <v>0</v>
      </c>
      <c r="L180" s="30">
        <f>F180*K180</f>
        <v>0</v>
      </c>
      <c r="N180" s="50" t="s">
        <v>7</v>
      </c>
      <c r="O180" s="30">
        <f>IF(N180="5",I180,0)</f>
        <v>0</v>
      </c>
      <c r="Z180" s="30">
        <f>IF(AD180=0,J180,0)</f>
        <v>0</v>
      </c>
      <c r="AA180" s="30">
        <f>IF(AD180=15,J180,0)</f>
        <v>0</v>
      </c>
      <c r="AB180" s="30">
        <f>IF(AD180=21,J180,0)</f>
        <v>0</v>
      </c>
      <c r="AD180" s="30">
        <v>21</v>
      </c>
      <c r="AE180" s="30">
        <f>G180*0</f>
        <v>0</v>
      </c>
      <c r="AF180" s="30">
        <f>G180*(1-0)</f>
        <v>0</v>
      </c>
    </row>
    <row r="181" spans="1:37" ht="12.75">
      <c r="A181" s="9"/>
      <c r="B181" s="9"/>
      <c r="C181" s="20" t="s">
        <v>19</v>
      </c>
      <c r="D181" s="25" t="s">
        <v>529</v>
      </c>
      <c r="E181" s="28"/>
      <c r="F181" s="28"/>
      <c r="G181" s="28"/>
      <c r="H181" s="52">
        <f>SUM(H182:H184)</f>
        <v>0</v>
      </c>
      <c r="I181" s="52">
        <f>SUM(I182:I184)</f>
        <v>0</v>
      </c>
      <c r="J181" s="52">
        <f>H181+I181</f>
        <v>0</v>
      </c>
      <c r="K181" s="44"/>
      <c r="L181" s="52">
        <f>SUM(L182:L184)</f>
        <v>0</v>
      </c>
      <c r="P181" s="52">
        <f>IF(Q181="PR",J181,SUM(O182:O184))</f>
        <v>0</v>
      </c>
      <c r="Q181" s="44" t="s">
        <v>641</v>
      </c>
      <c r="R181" s="52">
        <f>IF(Q181="HS",H181,0)</f>
        <v>0</v>
      </c>
      <c r="S181" s="52">
        <f>IF(Q181="HS",I181-P181,0)</f>
        <v>0</v>
      </c>
      <c r="T181" s="52">
        <f>IF(Q181="PS",H181,0)</f>
        <v>0</v>
      </c>
      <c r="U181" s="52">
        <f>IF(Q181="PS",I181-P181,0)</f>
        <v>0</v>
      </c>
      <c r="V181" s="52">
        <f>IF(Q181="MP",H181,0)</f>
        <v>0</v>
      </c>
      <c r="W181" s="52">
        <f>IF(Q181="MP",I181-P181,0)</f>
        <v>0</v>
      </c>
      <c r="X181" s="52">
        <f>IF(Q181="OM",H181,0)</f>
        <v>0</v>
      </c>
      <c r="Y181" s="44" t="s">
        <v>261</v>
      </c>
      <c r="AI181" s="52">
        <f>SUM(Z182:Z184)</f>
        <v>0</v>
      </c>
      <c r="AJ181" s="52">
        <f>SUM(AA182:AA184)</f>
        <v>0</v>
      </c>
      <c r="AK181" s="52">
        <f>SUM(AB182:AB184)</f>
        <v>0</v>
      </c>
    </row>
    <row r="182" spans="1:32" ht="12.75">
      <c r="A182" s="10" t="s">
        <v>141</v>
      </c>
      <c r="B182" s="10" t="s">
        <v>261</v>
      </c>
      <c r="C182" s="10" t="s">
        <v>289</v>
      </c>
      <c r="D182" s="10" t="s">
        <v>451</v>
      </c>
      <c r="E182" s="10" t="s">
        <v>615</v>
      </c>
      <c r="F182" s="30">
        <v>106.5</v>
      </c>
      <c r="H182" s="30">
        <f>ROUND(F182*AE182,2)</f>
        <v>0</v>
      </c>
      <c r="I182" s="30">
        <f>J182-H182</f>
        <v>0</v>
      </c>
      <c r="J182" s="30">
        <f>ROUND(F182*G182,2)</f>
        <v>0</v>
      </c>
      <c r="K182" s="30">
        <v>0</v>
      </c>
      <c r="L182" s="30">
        <f>F182*K182</f>
        <v>0</v>
      </c>
      <c r="N182" s="50" t="s">
        <v>7</v>
      </c>
      <c r="O182" s="30">
        <f>IF(N182="5",I182,0)</f>
        <v>0</v>
      </c>
      <c r="Z182" s="30">
        <f>IF(AD182=0,J182,0)</f>
        <v>0</v>
      </c>
      <c r="AA182" s="30">
        <f>IF(AD182=15,J182,0)</f>
        <v>0</v>
      </c>
      <c r="AB182" s="30">
        <f>IF(AD182=21,J182,0)</f>
        <v>0</v>
      </c>
      <c r="AD182" s="30">
        <v>21</v>
      </c>
      <c r="AE182" s="30">
        <f>G182*0</f>
        <v>0</v>
      </c>
      <c r="AF182" s="30">
        <f>G182*(1-0)</f>
        <v>0</v>
      </c>
    </row>
    <row r="183" spans="1:32" ht="12.75">
      <c r="A183" s="10" t="s">
        <v>142</v>
      </c>
      <c r="B183" s="10" t="s">
        <v>261</v>
      </c>
      <c r="C183" s="10" t="s">
        <v>353</v>
      </c>
      <c r="D183" s="10" t="s">
        <v>530</v>
      </c>
      <c r="E183" s="10" t="s">
        <v>615</v>
      </c>
      <c r="F183" s="30">
        <v>106.5</v>
      </c>
      <c r="H183" s="30">
        <f>ROUND(F183*AE183,2)</f>
        <v>0</v>
      </c>
      <c r="I183" s="30">
        <f>J183-H183</f>
        <v>0</v>
      </c>
      <c r="J183" s="30">
        <f>ROUND(F183*G183,2)</f>
        <v>0</v>
      </c>
      <c r="K183" s="30">
        <v>0</v>
      </c>
      <c r="L183" s="30">
        <f>F183*K183</f>
        <v>0</v>
      </c>
      <c r="N183" s="50" t="s">
        <v>7</v>
      </c>
      <c r="O183" s="30">
        <f>IF(N183="5",I183,0)</f>
        <v>0</v>
      </c>
      <c r="Z183" s="30">
        <f>IF(AD183=0,J183,0)</f>
        <v>0</v>
      </c>
      <c r="AA183" s="30">
        <f>IF(AD183=15,J183,0)</f>
        <v>0</v>
      </c>
      <c r="AB183" s="30">
        <f>IF(AD183=21,J183,0)</f>
        <v>0</v>
      </c>
      <c r="AD183" s="30">
        <v>21</v>
      </c>
      <c r="AE183" s="30">
        <f>G183*0</f>
        <v>0</v>
      </c>
      <c r="AF183" s="30">
        <f>G183*(1-0)</f>
        <v>0</v>
      </c>
    </row>
    <row r="184" spans="1:32" ht="12.75">
      <c r="A184" s="10" t="s">
        <v>143</v>
      </c>
      <c r="B184" s="10" t="s">
        <v>261</v>
      </c>
      <c r="C184" s="10" t="s">
        <v>334</v>
      </c>
      <c r="D184" s="10" t="s">
        <v>503</v>
      </c>
      <c r="E184" s="10" t="s">
        <v>615</v>
      </c>
      <c r="F184" s="30">
        <v>21.87</v>
      </c>
      <c r="H184" s="30">
        <f>ROUND(F184*AE184,2)</f>
        <v>0</v>
      </c>
      <c r="I184" s="30">
        <f>J184-H184</f>
        <v>0</v>
      </c>
      <c r="J184" s="30">
        <f>ROUND(F184*G184,2)</f>
        <v>0</v>
      </c>
      <c r="K184" s="30">
        <v>0</v>
      </c>
      <c r="L184" s="30">
        <f>F184*K184</f>
        <v>0</v>
      </c>
      <c r="N184" s="50" t="s">
        <v>7</v>
      </c>
      <c r="O184" s="30">
        <f>IF(N184="5",I184,0)</f>
        <v>0</v>
      </c>
      <c r="Z184" s="30">
        <f>IF(AD184=0,J184,0)</f>
        <v>0</v>
      </c>
      <c r="AA184" s="30">
        <f>IF(AD184=15,J184,0)</f>
        <v>0</v>
      </c>
      <c r="AB184" s="30">
        <f>IF(AD184=21,J184,0)</f>
        <v>0</v>
      </c>
      <c r="AD184" s="30">
        <v>21</v>
      </c>
      <c r="AE184" s="30">
        <f>G184*0</f>
        <v>0</v>
      </c>
      <c r="AF184" s="30">
        <f>G184*(1-0)</f>
        <v>0</v>
      </c>
    </row>
    <row r="185" spans="1:37" ht="12.75">
      <c r="A185" s="9"/>
      <c r="B185" s="9"/>
      <c r="C185" s="20" t="s">
        <v>20</v>
      </c>
      <c r="D185" s="25" t="s">
        <v>531</v>
      </c>
      <c r="E185" s="28"/>
      <c r="F185" s="28"/>
      <c r="G185" s="28"/>
      <c r="H185" s="52">
        <f>SUM(H186:H187)</f>
        <v>0</v>
      </c>
      <c r="I185" s="52">
        <f>SUM(I186:I187)</f>
        <v>0</v>
      </c>
      <c r="J185" s="52">
        <f>H185+I185</f>
        <v>0</v>
      </c>
      <c r="K185" s="44"/>
      <c r="L185" s="52">
        <f>SUM(L186:L187)</f>
        <v>0.06949000000000001</v>
      </c>
      <c r="P185" s="52">
        <f>IF(Q185="PR",J185,SUM(O186:O187))</f>
        <v>0</v>
      </c>
      <c r="Q185" s="44" t="s">
        <v>641</v>
      </c>
      <c r="R185" s="52">
        <f>IF(Q185="HS",H185,0)</f>
        <v>0</v>
      </c>
      <c r="S185" s="52">
        <f>IF(Q185="HS",I185-P185,0)</f>
        <v>0</v>
      </c>
      <c r="T185" s="52">
        <f>IF(Q185="PS",H185,0)</f>
        <v>0</v>
      </c>
      <c r="U185" s="52">
        <f>IF(Q185="PS",I185-P185,0)</f>
        <v>0</v>
      </c>
      <c r="V185" s="52">
        <f>IF(Q185="MP",H185,0)</f>
        <v>0</v>
      </c>
      <c r="W185" s="52">
        <f>IF(Q185="MP",I185-P185,0)</f>
        <v>0</v>
      </c>
      <c r="X185" s="52">
        <f>IF(Q185="OM",H185,0)</f>
        <v>0</v>
      </c>
      <c r="Y185" s="44" t="s">
        <v>261</v>
      </c>
      <c r="AI185" s="52">
        <f>SUM(Z186:Z187)</f>
        <v>0</v>
      </c>
      <c r="AJ185" s="52">
        <f>SUM(AA186:AA187)</f>
        <v>0</v>
      </c>
      <c r="AK185" s="52">
        <f>SUM(AB186:AB187)</f>
        <v>0</v>
      </c>
    </row>
    <row r="186" spans="1:32" ht="12.75">
      <c r="A186" s="10" t="s">
        <v>144</v>
      </c>
      <c r="B186" s="10" t="s">
        <v>261</v>
      </c>
      <c r="C186" s="10" t="s">
        <v>354</v>
      </c>
      <c r="D186" s="10" t="s">
        <v>532</v>
      </c>
      <c r="E186" s="10" t="s">
        <v>615</v>
      </c>
      <c r="F186" s="30">
        <v>2.6</v>
      </c>
      <c r="H186" s="30">
        <f>ROUND(F186*AE186,2)</f>
        <v>0</v>
      </c>
      <c r="I186" s="30">
        <f>J186-H186</f>
        <v>0</v>
      </c>
      <c r="J186" s="30">
        <f>ROUND(F186*G186,2)</f>
        <v>0</v>
      </c>
      <c r="K186" s="30">
        <v>0.0002</v>
      </c>
      <c r="L186" s="30">
        <f>F186*K186</f>
        <v>0.0005200000000000001</v>
      </c>
      <c r="N186" s="50" t="s">
        <v>9</v>
      </c>
      <c r="O186" s="30">
        <f>IF(N186="5",I186,0)</f>
        <v>0</v>
      </c>
      <c r="Z186" s="30">
        <f>IF(AD186=0,J186,0)</f>
        <v>0</v>
      </c>
      <c r="AA186" s="30">
        <f>IF(AD186=15,J186,0)</f>
        <v>0</v>
      </c>
      <c r="AB186" s="30">
        <f>IF(AD186=21,J186,0)</f>
        <v>0</v>
      </c>
      <c r="AD186" s="30">
        <v>21</v>
      </c>
      <c r="AE186" s="30">
        <f>G186*0.00651210924189457</f>
        <v>0</v>
      </c>
      <c r="AF186" s="30">
        <f>G186*(1-0.00651210924189457)</f>
        <v>0</v>
      </c>
    </row>
    <row r="187" spans="1:32" ht="12.75">
      <c r="A187" s="10" t="s">
        <v>145</v>
      </c>
      <c r="B187" s="10" t="s">
        <v>261</v>
      </c>
      <c r="C187" s="10" t="s">
        <v>355</v>
      </c>
      <c r="D187" s="10" t="s">
        <v>533</v>
      </c>
      <c r="E187" s="10" t="s">
        <v>616</v>
      </c>
      <c r="F187" s="30">
        <v>9.5</v>
      </c>
      <c r="H187" s="30">
        <f>ROUND(F187*AE187,2)</f>
        <v>0</v>
      </c>
      <c r="I187" s="30">
        <f>J187-H187</f>
        <v>0</v>
      </c>
      <c r="J187" s="30">
        <f>ROUND(F187*G187,2)</f>
        <v>0</v>
      </c>
      <c r="K187" s="30">
        <v>0.00726</v>
      </c>
      <c r="L187" s="30">
        <f>F187*K187</f>
        <v>0.06897</v>
      </c>
      <c r="N187" s="50" t="s">
        <v>7</v>
      </c>
      <c r="O187" s="30">
        <f>IF(N187="5",I187,0)</f>
        <v>0</v>
      </c>
      <c r="Z187" s="30">
        <f>IF(AD187=0,J187,0)</f>
        <v>0</v>
      </c>
      <c r="AA187" s="30">
        <f>IF(AD187=15,J187,0)</f>
        <v>0</v>
      </c>
      <c r="AB187" s="30">
        <f>IF(AD187=21,J187,0)</f>
        <v>0</v>
      </c>
      <c r="AD187" s="30">
        <v>21</v>
      </c>
      <c r="AE187" s="30">
        <f>G187*0.0300934132526445</f>
        <v>0</v>
      </c>
      <c r="AF187" s="30">
        <f>G187*(1-0.0300934132526445)</f>
        <v>0</v>
      </c>
    </row>
    <row r="188" spans="1:37" ht="12.75">
      <c r="A188" s="9"/>
      <c r="B188" s="9"/>
      <c r="C188" s="20" t="s">
        <v>21</v>
      </c>
      <c r="D188" s="25" t="s">
        <v>534</v>
      </c>
      <c r="E188" s="28"/>
      <c r="F188" s="28"/>
      <c r="G188" s="28"/>
      <c r="H188" s="52">
        <f>SUM(H189:H190)</f>
        <v>0</v>
      </c>
      <c r="I188" s="52">
        <f>SUM(I189:I190)</f>
        <v>0</v>
      </c>
      <c r="J188" s="52">
        <f>H188+I188</f>
        <v>0</v>
      </c>
      <c r="K188" s="44"/>
      <c r="L188" s="52">
        <f>SUM(L189:L190)</f>
        <v>0.228294</v>
      </c>
      <c r="P188" s="52">
        <f>IF(Q188="PR",J188,SUM(O189:O190))</f>
        <v>0</v>
      </c>
      <c r="Q188" s="44" t="s">
        <v>641</v>
      </c>
      <c r="R188" s="52">
        <f>IF(Q188="HS",H188,0)</f>
        <v>0</v>
      </c>
      <c r="S188" s="52">
        <f>IF(Q188="HS",I188-P188,0)</f>
        <v>0</v>
      </c>
      <c r="T188" s="52">
        <f>IF(Q188="PS",H188,0)</f>
        <v>0</v>
      </c>
      <c r="U188" s="52">
        <f>IF(Q188="PS",I188-P188,0)</f>
        <v>0</v>
      </c>
      <c r="V188" s="52">
        <f>IF(Q188="MP",H188,0)</f>
        <v>0</v>
      </c>
      <c r="W188" s="52">
        <f>IF(Q188="MP",I188-P188,0)</f>
        <v>0</v>
      </c>
      <c r="X188" s="52">
        <f>IF(Q188="OM",H188,0)</f>
        <v>0</v>
      </c>
      <c r="Y188" s="44" t="s">
        <v>261</v>
      </c>
      <c r="AI188" s="52">
        <f>SUM(Z189:Z190)</f>
        <v>0</v>
      </c>
      <c r="AJ188" s="52">
        <f>SUM(AA189:AA190)</f>
        <v>0</v>
      </c>
      <c r="AK188" s="52">
        <f>SUM(AB189:AB190)</f>
        <v>0</v>
      </c>
    </row>
    <row r="189" spans="1:32" ht="12.75">
      <c r="A189" s="10" t="s">
        <v>146</v>
      </c>
      <c r="B189" s="10" t="s">
        <v>261</v>
      </c>
      <c r="C189" s="10" t="s">
        <v>356</v>
      </c>
      <c r="D189" s="10" t="s">
        <v>535</v>
      </c>
      <c r="E189" s="10" t="s">
        <v>612</v>
      </c>
      <c r="F189" s="30">
        <v>230.6</v>
      </c>
      <c r="H189" s="30">
        <f>ROUND(F189*AE189,2)</f>
        <v>0</v>
      </c>
      <c r="I189" s="30">
        <f>J189-H189</f>
        <v>0</v>
      </c>
      <c r="J189" s="30">
        <f>ROUND(F189*G189,2)</f>
        <v>0</v>
      </c>
      <c r="K189" s="30">
        <v>0.00099</v>
      </c>
      <c r="L189" s="30">
        <f>F189*K189</f>
        <v>0.228294</v>
      </c>
      <c r="N189" s="50" t="s">
        <v>7</v>
      </c>
      <c r="O189" s="30">
        <f>IF(N189="5",I189,0)</f>
        <v>0</v>
      </c>
      <c r="Z189" s="30">
        <f>IF(AD189=0,J189,0)</f>
        <v>0</v>
      </c>
      <c r="AA189" s="30">
        <f>IF(AD189=15,J189,0)</f>
        <v>0</v>
      </c>
      <c r="AB189" s="30">
        <f>IF(AD189=21,J189,0)</f>
        <v>0</v>
      </c>
      <c r="AD189" s="30">
        <v>21</v>
      </c>
      <c r="AE189" s="30">
        <f>G189*0.108596250571559</f>
        <v>0</v>
      </c>
      <c r="AF189" s="30">
        <f>G189*(1-0.108596250571559)</f>
        <v>0</v>
      </c>
    </row>
    <row r="190" spans="1:32" ht="12.75">
      <c r="A190" s="10" t="s">
        <v>147</v>
      </c>
      <c r="B190" s="10" t="s">
        <v>261</v>
      </c>
      <c r="C190" s="10" t="s">
        <v>357</v>
      </c>
      <c r="D190" s="10" t="s">
        <v>536</v>
      </c>
      <c r="E190" s="10" t="s">
        <v>612</v>
      </c>
      <c r="F190" s="30">
        <v>230.6</v>
      </c>
      <c r="H190" s="30">
        <f>ROUND(F190*AE190,2)</f>
        <v>0</v>
      </c>
      <c r="I190" s="30">
        <f>J190-H190</f>
        <v>0</v>
      </c>
      <c r="J190" s="30">
        <f>ROUND(F190*G190,2)</f>
        <v>0</v>
      </c>
      <c r="K190" s="30">
        <v>0</v>
      </c>
      <c r="L190" s="30">
        <f>F190*K190</f>
        <v>0</v>
      </c>
      <c r="N190" s="50" t="s">
        <v>7</v>
      </c>
      <c r="O190" s="30">
        <f>IF(N190="5",I190,0)</f>
        <v>0</v>
      </c>
      <c r="Z190" s="30">
        <f>IF(AD190=0,J190,0)</f>
        <v>0</v>
      </c>
      <c r="AA190" s="30">
        <f>IF(AD190=15,J190,0)</f>
        <v>0</v>
      </c>
      <c r="AB190" s="30">
        <f>IF(AD190=21,J190,0)</f>
        <v>0</v>
      </c>
      <c r="AD190" s="30">
        <v>21</v>
      </c>
      <c r="AE190" s="30">
        <f>G190*0</f>
        <v>0</v>
      </c>
      <c r="AF190" s="30">
        <f>G190*(1-0)</f>
        <v>0</v>
      </c>
    </row>
    <row r="191" spans="1:37" ht="12.75">
      <c r="A191" s="9"/>
      <c r="B191" s="9"/>
      <c r="C191" s="20" t="s">
        <v>22</v>
      </c>
      <c r="D191" s="25" t="s">
        <v>537</v>
      </c>
      <c r="E191" s="28"/>
      <c r="F191" s="28"/>
      <c r="G191" s="28"/>
      <c r="H191" s="52">
        <f>SUM(H192:H193)</f>
        <v>0</v>
      </c>
      <c r="I191" s="52">
        <f>SUM(I192:I193)</f>
        <v>0</v>
      </c>
      <c r="J191" s="52">
        <f>H191+I191</f>
        <v>0</v>
      </c>
      <c r="K191" s="44"/>
      <c r="L191" s="52">
        <f>SUM(L192:L193)</f>
        <v>0</v>
      </c>
      <c r="P191" s="52">
        <f>IF(Q191="PR",J191,SUM(O192:O193))</f>
        <v>0</v>
      </c>
      <c r="Q191" s="44" t="s">
        <v>641</v>
      </c>
      <c r="R191" s="52">
        <f>IF(Q191="HS",H191,0)</f>
        <v>0</v>
      </c>
      <c r="S191" s="52">
        <f>IF(Q191="HS",I191-P191,0)</f>
        <v>0</v>
      </c>
      <c r="T191" s="52">
        <f>IF(Q191="PS",H191,0)</f>
        <v>0</v>
      </c>
      <c r="U191" s="52">
        <f>IF(Q191="PS",I191-P191,0)</f>
        <v>0</v>
      </c>
      <c r="V191" s="52">
        <f>IF(Q191="MP",H191,0)</f>
        <v>0</v>
      </c>
      <c r="W191" s="52">
        <f>IF(Q191="MP",I191-P191,0)</f>
        <v>0</v>
      </c>
      <c r="X191" s="52">
        <f>IF(Q191="OM",H191,0)</f>
        <v>0</v>
      </c>
      <c r="Y191" s="44" t="s">
        <v>261</v>
      </c>
      <c r="AI191" s="52">
        <f>SUM(Z192:Z193)</f>
        <v>0</v>
      </c>
      <c r="AJ191" s="52">
        <f>SUM(AA192:AA193)</f>
        <v>0</v>
      </c>
      <c r="AK191" s="52">
        <f>SUM(AB192:AB193)</f>
        <v>0</v>
      </c>
    </row>
    <row r="192" spans="1:32" ht="12.75">
      <c r="A192" s="10" t="s">
        <v>148</v>
      </c>
      <c r="B192" s="10" t="s">
        <v>261</v>
      </c>
      <c r="C192" s="10" t="s">
        <v>358</v>
      </c>
      <c r="D192" s="10" t="s">
        <v>538</v>
      </c>
      <c r="E192" s="10" t="s">
        <v>615</v>
      </c>
      <c r="F192" s="30">
        <v>130.97</v>
      </c>
      <c r="H192" s="30">
        <f>ROUND(F192*AE192,2)</f>
        <v>0</v>
      </c>
      <c r="I192" s="30">
        <f>J192-H192</f>
        <v>0</v>
      </c>
      <c r="J192" s="30">
        <f>ROUND(F192*G192,2)</f>
        <v>0</v>
      </c>
      <c r="K192" s="30">
        <v>0</v>
      </c>
      <c r="L192" s="30">
        <f>F192*K192</f>
        <v>0</v>
      </c>
      <c r="N192" s="50" t="s">
        <v>7</v>
      </c>
      <c r="O192" s="30">
        <f>IF(N192="5",I192,0)</f>
        <v>0</v>
      </c>
      <c r="Z192" s="30">
        <f>IF(AD192=0,J192,0)</f>
        <v>0</v>
      </c>
      <c r="AA192" s="30">
        <f>IF(AD192=15,J192,0)</f>
        <v>0</v>
      </c>
      <c r="AB192" s="30">
        <f>IF(AD192=21,J192,0)</f>
        <v>0</v>
      </c>
      <c r="AD192" s="30">
        <v>21</v>
      </c>
      <c r="AE192" s="30">
        <f>G192*0</f>
        <v>0</v>
      </c>
      <c r="AF192" s="30">
        <f>G192*(1-0)</f>
        <v>0</v>
      </c>
    </row>
    <row r="193" spans="1:32" ht="12.75">
      <c r="A193" s="10" t="s">
        <v>149</v>
      </c>
      <c r="B193" s="10" t="s">
        <v>261</v>
      </c>
      <c r="C193" s="10" t="s">
        <v>359</v>
      </c>
      <c r="D193" s="10" t="s">
        <v>539</v>
      </c>
      <c r="E193" s="10" t="s">
        <v>615</v>
      </c>
      <c r="F193" s="30">
        <v>130.97</v>
      </c>
      <c r="H193" s="30">
        <f>ROUND(F193*AE193,2)</f>
        <v>0</v>
      </c>
      <c r="I193" s="30">
        <f>J193-H193</f>
        <v>0</v>
      </c>
      <c r="J193" s="30">
        <f>ROUND(F193*G193,2)</f>
        <v>0</v>
      </c>
      <c r="K193" s="30">
        <v>0</v>
      </c>
      <c r="L193" s="30">
        <f>F193*K193</f>
        <v>0</v>
      </c>
      <c r="N193" s="50" t="s">
        <v>7</v>
      </c>
      <c r="O193" s="30">
        <f>IF(N193="5",I193,0)</f>
        <v>0</v>
      </c>
      <c r="Z193" s="30">
        <f>IF(AD193=0,J193,0)</f>
        <v>0</v>
      </c>
      <c r="AA193" s="30">
        <f>IF(AD193=15,J193,0)</f>
        <v>0</v>
      </c>
      <c r="AB193" s="30">
        <f>IF(AD193=21,J193,0)</f>
        <v>0</v>
      </c>
      <c r="AD193" s="30">
        <v>21</v>
      </c>
      <c r="AE193" s="30">
        <f>G193*0</f>
        <v>0</v>
      </c>
      <c r="AF193" s="30">
        <f>G193*(1-0)</f>
        <v>0</v>
      </c>
    </row>
    <row r="194" spans="1:37" ht="12.75">
      <c r="A194" s="9"/>
      <c r="B194" s="9"/>
      <c r="C194" s="20" t="s">
        <v>23</v>
      </c>
      <c r="D194" s="25" t="s">
        <v>540</v>
      </c>
      <c r="E194" s="28"/>
      <c r="F194" s="28"/>
      <c r="G194" s="28"/>
      <c r="H194" s="52">
        <f>SUM(H195:H197)</f>
        <v>0</v>
      </c>
      <c r="I194" s="52">
        <f>SUM(I195:I197)</f>
        <v>0</v>
      </c>
      <c r="J194" s="52">
        <f>H194+I194</f>
        <v>0</v>
      </c>
      <c r="K194" s="44"/>
      <c r="L194" s="52">
        <f>SUM(L195:L197)</f>
        <v>0</v>
      </c>
      <c r="P194" s="52">
        <f>IF(Q194="PR",J194,SUM(O195:O197))</f>
        <v>0</v>
      </c>
      <c r="Q194" s="44" t="s">
        <v>641</v>
      </c>
      <c r="R194" s="52">
        <f>IF(Q194="HS",H194,0)</f>
        <v>0</v>
      </c>
      <c r="S194" s="52">
        <f>IF(Q194="HS",I194-P194,0)</f>
        <v>0</v>
      </c>
      <c r="T194" s="52">
        <f>IF(Q194="PS",H194,0)</f>
        <v>0</v>
      </c>
      <c r="U194" s="52">
        <f>IF(Q194="PS",I194-P194,0)</f>
        <v>0</v>
      </c>
      <c r="V194" s="52">
        <f>IF(Q194="MP",H194,0)</f>
        <v>0</v>
      </c>
      <c r="W194" s="52">
        <f>IF(Q194="MP",I194-P194,0)</f>
        <v>0</v>
      </c>
      <c r="X194" s="52">
        <f>IF(Q194="OM",H194,0)</f>
        <v>0</v>
      </c>
      <c r="Y194" s="44" t="s">
        <v>261</v>
      </c>
      <c r="AI194" s="52">
        <f>SUM(Z195:Z197)</f>
        <v>0</v>
      </c>
      <c r="AJ194" s="52">
        <f>SUM(AA195:AA197)</f>
        <v>0</v>
      </c>
      <c r="AK194" s="52">
        <f>SUM(AB195:AB197)</f>
        <v>0</v>
      </c>
    </row>
    <row r="195" spans="1:32" ht="12.75">
      <c r="A195" s="10" t="s">
        <v>150</v>
      </c>
      <c r="B195" s="10" t="s">
        <v>261</v>
      </c>
      <c r="C195" s="10" t="s">
        <v>280</v>
      </c>
      <c r="D195" s="10" t="s">
        <v>440</v>
      </c>
      <c r="E195" s="10" t="s">
        <v>615</v>
      </c>
      <c r="F195" s="30">
        <v>128.37</v>
      </c>
      <c r="H195" s="30">
        <f>ROUND(F195*AE195,2)</f>
        <v>0</v>
      </c>
      <c r="I195" s="30">
        <f>J195-H195</f>
        <v>0</v>
      </c>
      <c r="J195" s="30">
        <f>ROUND(F195*G195,2)</f>
        <v>0</v>
      </c>
      <c r="K195" s="30">
        <v>0</v>
      </c>
      <c r="L195" s="30">
        <f>F195*K195</f>
        <v>0</v>
      </c>
      <c r="N195" s="50" t="s">
        <v>7</v>
      </c>
      <c r="O195" s="30">
        <f>IF(N195="5",I195,0)</f>
        <v>0</v>
      </c>
      <c r="Z195" s="30">
        <f>IF(AD195=0,J195,0)</f>
        <v>0</v>
      </c>
      <c r="AA195" s="30">
        <f>IF(AD195=15,J195,0)</f>
        <v>0</v>
      </c>
      <c r="AB195" s="30">
        <f>IF(AD195=21,J195,0)</f>
        <v>0</v>
      </c>
      <c r="AD195" s="30">
        <v>21</v>
      </c>
      <c r="AE195" s="30">
        <f>G195*0</f>
        <v>0</v>
      </c>
      <c r="AF195" s="30">
        <f>G195*(1-0)</f>
        <v>0</v>
      </c>
    </row>
    <row r="196" spans="1:32" ht="12.75">
      <c r="A196" s="10" t="s">
        <v>151</v>
      </c>
      <c r="B196" s="10" t="s">
        <v>261</v>
      </c>
      <c r="C196" s="10" t="s">
        <v>360</v>
      </c>
      <c r="D196" s="10" t="s">
        <v>541</v>
      </c>
      <c r="E196" s="10" t="s">
        <v>615</v>
      </c>
      <c r="F196" s="30">
        <v>1</v>
      </c>
      <c r="H196" s="30">
        <f>ROUND(F196*AE196,2)</f>
        <v>0</v>
      </c>
      <c r="I196" s="30">
        <f>J196-H196</f>
        <v>0</v>
      </c>
      <c r="J196" s="30">
        <f>ROUND(F196*G196,2)</f>
        <v>0</v>
      </c>
      <c r="K196" s="30">
        <v>0</v>
      </c>
      <c r="L196" s="30">
        <f>F196*K196</f>
        <v>0</v>
      </c>
      <c r="N196" s="50" t="s">
        <v>7</v>
      </c>
      <c r="O196" s="30">
        <f>IF(N196="5",I196,0)</f>
        <v>0</v>
      </c>
      <c r="Z196" s="30">
        <f>IF(AD196=0,J196,0)</f>
        <v>0</v>
      </c>
      <c r="AA196" s="30">
        <f>IF(AD196=15,J196,0)</f>
        <v>0</v>
      </c>
      <c r="AB196" s="30">
        <f>IF(AD196=21,J196,0)</f>
        <v>0</v>
      </c>
      <c r="AD196" s="30">
        <v>21</v>
      </c>
      <c r="AE196" s="30">
        <f>G196*0</f>
        <v>0</v>
      </c>
      <c r="AF196" s="30">
        <f>G196*(1-0)</f>
        <v>0</v>
      </c>
    </row>
    <row r="197" spans="1:32" ht="12.75">
      <c r="A197" s="10" t="s">
        <v>152</v>
      </c>
      <c r="B197" s="10" t="s">
        <v>261</v>
      </c>
      <c r="C197" s="10" t="s">
        <v>361</v>
      </c>
      <c r="D197" s="10" t="s">
        <v>542</v>
      </c>
      <c r="E197" s="10" t="s">
        <v>615</v>
      </c>
      <c r="F197" s="30">
        <v>87.7</v>
      </c>
      <c r="H197" s="30">
        <f>ROUND(F197*AE197,2)</f>
        <v>0</v>
      </c>
      <c r="I197" s="30">
        <f>J197-H197</f>
        <v>0</v>
      </c>
      <c r="J197" s="30">
        <f>ROUND(F197*G197,2)</f>
        <v>0</v>
      </c>
      <c r="K197" s="30">
        <v>0</v>
      </c>
      <c r="L197" s="30">
        <f>F197*K197</f>
        <v>0</v>
      </c>
      <c r="N197" s="50" t="s">
        <v>7</v>
      </c>
      <c r="O197" s="30">
        <f>IF(N197="5",I197,0)</f>
        <v>0</v>
      </c>
      <c r="Z197" s="30">
        <f>IF(AD197=0,J197,0)</f>
        <v>0</v>
      </c>
      <c r="AA197" s="30">
        <f>IF(AD197=15,J197,0)</f>
        <v>0</v>
      </c>
      <c r="AB197" s="30">
        <f>IF(AD197=21,J197,0)</f>
        <v>0</v>
      </c>
      <c r="AD197" s="30">
        <v>21</v>
      </c>
      <c r="AE197" s="30">
        <f>G197*0</f>
        <v>0</v>
      </c>
      <c r="AF197" s="30">
        <f>G197*(1-0)</f>
        <v>0</v>
      </c>
    </row>
    <row r="198" spans="1:37" ht="12.75">
      <c r="A198" s="9"/>
      <c r="B198" s="9"/>
      <c r="C198" s="20" t="s">
        <v>51</v>
      </c>
      <c r="D198" s="25" t="s">
        <v>543</v>
      </c>
      <c r="E198" s="28"/>
      <c r="F198" s="28"/>
      <c r="G198" s="28"/>
      <c r="H198" s="52">
        <f>SUM(H199:H200)</f>
        <v>0</v>
      </c>
      <c r="I198" s="52">
        <f>SUM(I199:I200)</f>
        <v>0</v>
      </c>
      <c r="J198" s="52">
        <f>H198+I198</f>
        <v>0</v>
      </c>
      <c r="K198" s="44"/>
      <c r="L198" s="52">
        <f>SUM(L199:L200)</f>
        <v>17.206007</v>
      </c>
      <c r="P198" s="52">
        <f>IF(Q198="PR",J198,SUM(O199:O200))</f>
        <v>0</v>
      </c>
      <c r="Q198" s="44" t="s">
        <v>641</v>
      </c>
      <c r="R198" s="52">
        <f>IF(Q198="HS",H198,0)</f>
        <v>0</v>
      </c>
      <c r="S198" s="52">
        <f>IF(Q198="HS",I198-P198,0)</f>
        <v>0</v>
      </c>
      <c r="T198" s="52">
        <f>IF(Q198="PS",H198,0)</f>
        <v>0</v>
      </c>
      <c r="U198" s="52">
        <f>IF(Q198="PS",I198-P198,0)</f>
        <v>0</v>
      </c>
      <c r="V198" s="52">
        <f>IF(Q198="MP",H198,0)</f>
        <v>0</v>
      </c>
      <c r="W198" s="52">
        <f>IF(Q198="MP",I198-P198,0)</f>
        <v>0</v>
      </c>
      <c r="X198" s="52">
        <f>IF(Q198="OM",H198,0)</f>
        <v>0</v>
      </c>
      <c r="Y198" s="44" t="s">
        <v>261</v>
      </c>
      <c r="AI198" s="52">
        <f>SUM(Z199:Z200)</f>
        <v>0</v>
      </c>
      <c r="AJ198" s="52">
        <f>SUM(AA199:AA200)</f>
        <v>0</v>
      </c>
      <c r="AK198" s="52">
        <f>SUM(AB199:AB200)</f>
        <v>0</v>
      </c>
    </row>
    <row r="199" spans="1:32" ht="12.75">
      <c r="A199" s="10" t="s">
        <v>153</v>
      </c>
      <c r="B199" s="10" t="s">
        <v>261</v>
      </c>
      <c r="C199" s="10" t="s">
        <v>362</v>
      </c>
      <c r="D199" s="10" t="s">
        <v>544</v>
      </c>
      <c r="E199" s="10" t="s">
        <v>615</v>
      </c>
      <c r="F199" s="30">
        <v>9.1</v>
      </c>
      <c r="H199" s="30">
        <f>ROUND(F199*AE199,2)</f>
        <v>0</v>
      </c>
      <c r="I199" s="30">
        <f>J199-H199</f>
        <v>0</v>
      </c>
      <c r="J199" s="30">
        <f>ROUND(F199*G199,2)</f>
        <v>0</v>
      </c>
      <c r="K199" s="30">
        <v>1.89077</v>
      </c>
      <c r="L199" s="30">
        <f>F199*K199</f>
        <v>17.206007</v>
      </c>
      <c r="N199" s="50" t="s">
        <v>7</v>
      </c>
      <c r="O199" s="30">
        <f>IF(N199="5",I199,0)</f>
        <v>0</v>
      </c>
      <c r="Z199" s="30">
        <f>IF(AD199=0,J199,0)</f>
        <v>0</v>
      </c>
      <c r="AA199" s="30">
        <f>IF(AD199=15,J199,0)</f>
        <v>0</v>
      </c>
      <c r="AB199" s="30">
        <f>IF(AD199=21,J199,0)</f>
        <v>0</v>
      </c>
      <c r="AD199" s="30">
        <v>21</v>
      </c>
      <c r="AE199" s="30">
        <f>G199*0.648748447813868</f>
        <v>0</v>
      </c>
      <c r="AF199" s="30">
        <f>G199*(1-0.648748447813868)</f>
        <v>0</v>
      </c>
    </row>
    <row r="200" spans="1:32" ht="12.75">
      <c r="A200" s="10" t="s">
        <v>154</v>
      </c>
      <c r="B200" s="10" t="s">
        <v>261</v>
      </c>
      <c r="C200" s="10" t="s">
        <v>363</v>
      </c>
      <c r="D200" s="10" t="s">
        <v>545</v>
      </c>
      <c r="E200" s="10" t="s">
        <v>615</v>
      </c>
      <c r="F200" s="30">
        <v>31.8</v>
      </c>
      <c r="H200" s="30">
        <f>ROUND(F200*AE200,2)</f>
        <v>0</v>
      </c>
      <c r="I200" s="30">
        <f>J200-H200</f>
        <v>0</v>
      </c>
      <c r="J200" s="30">
        <f>ROUND(F200*G200,2)</f>
        <v>0</v>
      </c>
      <c r="K200" s="30">
        <v>0</v>
      </c>
      <c r="L200" s="30">
        <f>F200*K200</f>
        <v>0</v>
      </c>
      <c r="N200" s="50" t="s">
        <v>7</v>
      </c>
      <c r="O200" s="30">
        <f>IF(N200="5",I200,0)</f>
        <v>0</v>
      </c>
      <c r="Z200" s="30">
        <f>IF(AD200=0,J200,0)</f>
        <v>0</v>
      </c>
      <c r="AA200" s="30">
        <f>IF(AD200=15,J200,0)</f>
        <v>0</v>
      </c>
      <c r="AB200" s="30">
        <f>IF(AD200=21,J200,0)</f>
        <v>0</v>
      </c>
      <c r="AD200" s="30">
        <v>21</v>
      </c>
      <c r="AE200" s="30">
        <f>G200*0</f>
        <v>0</v>
      </c>
      <c r="AF200" s="30">
        <f>G200*(1-0)</f>
        <v>0</v>
      </c>
    </row>
    <row r="201" spans="1:37" ht="12.75">
      <c r="A201" s="9"/>
      <c r="B201" s="9"/>
      <c r="C201" s="20" t="s">
        <v>93</v>
      </c>
      <c r="D201" s="25" t="s">
        <v>546</v>
      </c>
      <c r="E201" s="28"/>
      <c r="F201" s="28"/>
      <c r="G201" s="28"/>
      <c r="H201" s="52">
        <f>SUM(H202:H205)</f>
        <v>0</v>
      </c>
      <c r="I201" s="52">
        <f>SUM(I202:I205)</f>
        <v>0</v>
      </c>
      <c r="J201" s="52">
        <f>H201+I201</f>
        <v>0</v>
      </c>
      <c r="K201" s="44"/>
      <c r="L201" s="52">
        <f>SUM(L202:L205)</f>
        <v>0.0015116</v>
      </c>
      <c r="P201" s="52">
        <f>IF(Q201="PR",J201,SUM(O202:O205))</f>
        <v>0</v>
      </c>
      <c r="Q201" s="44" t="s">
        <v>641</v>
      </c>
      <c r="R201" s="52">
        <f>IF(Q201="HS",H201,0)</f>
        <v>0</v>
      </c>
      <c r="S201" s="52">
        <f>IF(Q201="HS",I201-P201,0)</f>
        <v>0</v>
      </c>
      <c r="T201" s="52">
        <f>IF(Q201="PS",H201,0)</f>
        <v>0</v>
      </c>
      <c r="U201" s="52">
        <f>IF(Q201="PS",I201-P201,0)</f>
        <v>0</v>
      </c>
      <c r="V201" s="52">
        <f>IF(Q201="MP",H201,0)</f>
        <v>0</v>
      </c>
      <c r="W201" s="52">
        <f>IF(Q201="MP",I201-P201,0)</f>
        <v>0</v>
      </c>
      <c r="X201" s="52">
        <f>IF(Q201="OM",H201,0)</f>
        <v>0</v>
      </c>
      <c r="Y201" s="44" t="s">
        <v>261</v>
      </c>
      <c r="AI201" s="52">
        <f>SUM(Z202:Z205)</f>
        <v>0</v>
      </c>
      <c r="AJ201" s="52">
        <f>SUM(AA202:AA205)</f>
        <v>0</v>
      </c>
      <c r="AK201" s="52">
        <f>SUM(AB202:AB205)</f>
        <v>0</v>
      </c>
    </row>
    <row r="202" spans="1:32" ht="12.75">
      <c r="A202" s="10" t="s">
        <v>155</v>
      </c>
      <c r="B202" s="10" t="s">
        <v>261</v>
      </c>
      <c r="C202" s="10" t="s">
        <v>364</v>
      </c>
      <c r="D202" s="10" t="s">
        <v>547</v>
      </c>
      <c r="E202" s="10" t="s">
        <v>614</v>
      </c>
      <c r="F202" s="30">
        <v>1</v>
      </c>
      <c r="H202" s="30">
        <f>ROUND(F202*AE202,2)</f>
        <v>0</v>
      </c>
      <c r="I202" s="30">
        <f>J202-H202</f>
        <v>0</v>
      </c>
      <c r="J202" s="30">
        <f>ROUND(F202*G202,2)</f>
        <v>0</v>
      </c>
      <c r="K202" s="30">
        <v>0</v>
      </c>
      <c r="L202" s="30">
        <f>F202*K202</f>
        <v>0</v>
      </c>
      <c r="N202" s="50" t="s">
        <v>11</v>
      </c>
      <c r="O202" s="30">
        <f>IF(N202="5",I202,0)</f>
        <v>0</v>
      </c>
      <c r="Z202" s="30">
        <f>IF(AD202=0,J202,0)</f>
        <v>0</v>
      </c>
      <c r="AA202" s="30">
        <f>IF(AD202=15,J202,0)</f>
        <v>0</v>
      </c>
      <c r="AB202" s="30">
        <f>IF(AD202=21,J202,0)</f>
        <v>0</v>
      </c>
      <c r="AD202" s="30">
        <v>21</v>
      </c>
      <c r="AE202" s="30">
        <f>G202*0</f>
        <v>0</v>
      </c>
      <c r="AF202" s="30">
        <f>G202*(1-0)</f>
        <v>0</v>
      </c>
    </row>
    <row r="203" spans="1:32" ht="12.75">
      <c r="A203" s="10" t="s">
        <v>156</v>
      </c>
      <c r="B203" s="10" t="s">
        <v>261</v>
      </c>
      <c r="C203" s="10" t="s">
        <v>365</v>
      </c>
      <c r="D203" s="10" t="s">
        <v>548</v>
      </c>
      <c r="E203" s="10" t="s">
        <v>616</v>
      </c>
      <c r="F203" s="30">
        <v>17.9</v>
      </c>
      <c r="H203" s="30">
        <f>ROUND(F203*AE203,2)</f>
        <v>0</v>
      </c>
      <c r="I203" s="30">
        <f>J203-H203</f>
        <v>0</v>
      </c>
      <c r="J203" s="30">
        <f>ROUND(F203*G203,2)</f>
        <v>0</v>
      </c>
      <c r="K203" s="30">
        <v>1E-05</v>
      </c>
      <c r="L203" s="30">
        <f>F203*K203</f>
        <v>0.000179</v>
      </c>
      <c r="N203" s="50" t="s">
        <v>7</v>
      </c>
      <c r="O203" s="30">
        <f>IF(N203="5",I203,0)</f>
        <v>0</v>
      </c>
      <c r="Z203" s="30">
        <f>IF(AD203=0,J203,0)</f>
        <v>0</v>
      </c>
      <c r="AA203" s="30">
        <f>IF(AD203=15,J203,0)</f>
        <v>0</v>
      </c>
      <c r="AB203" s="30">
        <f>IF(AD203=21,J203,0)</f>
        <v>0</v>
      </c>
      <c r="AD203" s="30">
        <v>21</v>
      </c>
      <c r="AE203" s="30">
        <f>G203*0.00357719824601892</f>
        <v>0</v>
      </c>
      <c r="AF203" s="30">
        <f>G203*(1-0.00357719824601892)</f>
        <v>0</v>
      </c>
    </row>
    <row r="204" spans="1:32" ht="12.75">
      <c r="A204" s="10" t="s">
        <v>157</v>
      </c>
      <c r="B204" s="10" t="s">
        <v>261</v>
      </c>
      <c r="C204" s="10" t="s">
        <v>366</v>
      </c>
      <c r="D204" s="10" t="s">
        <v>549</v>
      </c>
      <c r="E204" s="10" t="s">
        <v>616</v>
      </c>
      <c r="F204" s="30">
        <v>33.26</v>
      </c>
      <c r="H204" s="30">
        <f>ROUND(F204*AE204,2)</f>
        <v>0</v>
      </c>
      <c r="I204" s="30">
        <f>J204-H204</f>
        <v>0</v>
      </c>
      <c r="J204" s="30">
        <f>ROUND(F204*G204,2)</f>
        <v>0</v>
      </c>
      <c r="K204" s="30">
        <v>1E-05</v>
      </c>
      <c r="L204" s="30">
        <f>F204*K204</f>
        <v>0.0003326</v>
      </c>
      <c r="N204" s="50" t="s">
        <v>7</v>
      </c>
      <c r="O204" s="30">
        <f>IF(N204="5",I204,0)</f>
        <v>0</v>
      </c>
      <c r="Z204" s="30">
        <f>IF(AD204=0,J204,0)</f>
        <v>0</v>
      </c>
      <c r="AA204" s="30">
        <f>IF(AD204=15,J204,0)</f>
        <v>0</v>
      </c>
      <c r="AB204" s="30">
        <f>IF(AD204=21,J204,0)</f>
        <v>0</v>
      </c>
      <c r="AD204" s="30">
        <v>21</v>
      </c>
      <c r="AE204" s="30">
        <f>G204*0.00369318181818182</f>
        <v>0</v>
      </c>
      <c r="AF204" s="30">
        <f>G204*(1-0.00369318181818182)</f>
        <v>0</v>
      </c>
    </row>
    <row r="205" spans="1:32" ht="12.75">
      <c r="A205" s="10" t="s">
        <v>158</v>
      </c>
      <c r="B205" s="10" t="s">
        <v>261</v>
      </c>
      <c r="C205" s="10" t="s">
        <v>367</v>
      </c>
      <c r="D205" s="10" t="s">
        <v>550</v>
      </c>
      <c r="E205" s="10" t="s">
        <v>616</v>
      </c>
      <c r="F205" s="30">
        <v>50</v>
      </c>
      <c r="H205" s="30">
        <f>ROUND(F205*AE205,2)</f>
        <v>0</v>
      </c>
      <c r="I205" s="30">
        <f>J205-H205</f>
        <v>0</v>
      </c>
      <c r="J205" s="30">
        <f>ROUND(F205*G205,2)</f>
        <v>0</v>
      </c>
      <c r="K205" s="30">
        <v>2E-05</v>
      </c>
      <c r="L205" s="30">
        <f>F205*K205</f>
        <v>0.001</v>
      </c>
      <c r="N205" s="50" t="s">
        <v>7</v>
      </c>
      <c r="O205" s="30">
        <f>IF(N205="5",I205,0)</f>
        <v>0</v>
      </c>
      <c r="Z205" s="30">
        <f>IF(AD205=0,J205,0)</f>
        <v>0</v>
      </c>
      <c r="AA205" s="30">
        <f>IF(AD205=15,J205,0)</f>
        <v>0</v>
      </c>
      <c r="AB205" s="30">
        <f>IF(AD205=21,J205,0)</f>
        <v>0</v>
      </c>
      <c r="AD205" s="30">
        <v>21</v>
      </c>
      <c r="AE205" s="30">
        <f>G205*0.00329218106995885</f>
        <v>0</v>
      </c>
      <c r="AF205" s="30">
        <f>G205*(1-0.00329218106995885)</f>
        <v>0</v>
      </c>
    </row>
    <row r="206" spans="1:37" ht="12.75">
      <c r="A206" s="9"/>
      <c r="B206" s="9"/>
      <c r="C206" s="20" t="s">
        <v>95</v>
      </c>
      <c r="D206" s="25" t="s">
        <v>473</v>
      </c>
      <c r="E206" s="28"/>
      <c r="F206" s="28"/>
      <c r="G206" s="28"/>
      <c r="H206" s="52">
        <f>SUM(H207:H209)</f>
        <v>0</v>
      </c>
      <c r="I206" s="52">
        <f>SUM(I207:I209)</f>
        <v>0</v>
      </c>
      <c r="J206" s="52">
        <f>H206+I206</f>
        <v>0</v>
      </c>
      <c r="K206" s="44"/>
      <c r="L206" s="52">
        <f>SUM(L207:L209)</f>
        <v>1.50662</v>
      </c>
      <c r="P206" s="52">
        <f>IF(Q206="PR",J206,SUM(O207:O209))</f>
        <v>0</v>
      </c>
      <c r="Q206" s="44" t="s">
        <v>641</v>
      </c>
      <c r="R206" s="52">
        <f>IF(Q206="HS",H206,0)</f>
        <v>0</v>
      </c>
      <c r="S206" s="52">
        <f>IF(Q206="HS",I206-P206,0)</f>
        <v>0</v>
      </c>
      <c r="T206" s="52">
        <f>IF(Q206="PS",H206,0)</f>
        <v>0</v>
      </c>
      <c r="U206" s="52">
        <f>IF(Q206="PS",I206-P206,0)</f>
        <v>0</v>
      </c>
      <c r="V206" s="52">
        <f>IF(Q206="MP",H206,0)</f>
        <v>0</v>
      </c>
      <c r="W206" s="52">
        <f>IF(Q206="MP",I206-P206,0)</f>
        <v>0</v>
      </c>
      <c r="X206" s="52">
        <f>IF(Q206="OM",H206,0)</f>
        <v>0</v>
      </c>
      <c r="Y206" s="44" t="s">
        <v>261</v>
      </c>
      <c r="AI206" s="52">
        <f>SUM(Z207:Z209)</f>
        <v>0</v>
      </c>
      <c r="AJ206" s="52">
        <f>SUM(AA207:AA209)</f>
        <v>0</v>
      </c>
      <c r="AK206" s="52">
        <f>SUM(AB207:AB209)</f>
        <v>0</v>
      </c>
    </row>
    <row r="207" spans="1:32" ht="12.75">
      <c r="A207" s="10" t="s">
        <v>159</v>
      </c>
      <c r="B207" s="10" t="s">
        <v>261</v>
      </c>
      <c r="C207" s="10" t="s">
        <v>368</v>
      </c>
      <c r="D207" s="10" t="s">
        <v>551</v>
      </c>
      <c r="E207" s="10" t="s">
        <v>613</v>
      </c>
      <c r="F207" s="30">
        <v>3</v>
      </c>
      <c r="H207" s="30">
        <f>ROUND(F207*AE207,2)</f>
        <v>0</v>
      </c>
      <c r="I207" s="30">
        <f>J207-H207</f>
        <v>0</v>
      </c>
      <c r="J207" s="30">
        <f>ROUND(F207*G207,2)</f>
        <v>0</v>
      </c>
      <c r="K207" s="30">
        <v>0.50215</v>
      </c>
      <c r="L207" s="30">
        <f>F207*K207</f>
        <v>1.50645</v>
      </c>
      <c r="N207" s="50" t="s">
        <v>7</v>
      </c>
      <c r="O207" s="30">
        <f>IF(N207="5",I207,0)</f>
        <v>0</v>
      </c>
      <c r="Z207" s="30">
        <f>IF(AD207=0,J207,0)</f>
        <v>0</v>
      </c>
      <c r="AA207" s="30">
        <f>IF(AD207=15,J207,0)</f>
        <v>0</v>
      </c>
      <c r="AB207" s="30">
        <f>IF(AD207=21,J207,0)</f>
        <v>0</v>
      </c>
      <c r="AD207" s="30">
        <v>21</v>
      </c>
      <c r="AE207" s="30">
        <f>G207*0.710357072028256</f>
        <v>0</v>
      </c>
      <c r="AF207" s="30">
        <f>G207*(1-0.710357072028256)</f>
        <v>0</v>
      </c>
    </row>
    <row r="208" spans="1:32" ht="12.75">
      <c r="A208" s="10" t="s">
        <v>160</v>
      </c>
      <c r="B208" s="10" t="s">
        <v>261</v>
      </c>
      <c r="C208" s="10" t="s">
        <v>369</v>
      </c>
      <c r="D208" s="10" t="s">
        <v>552</v>
      </c>
      <c r="E208" s="10" t="s">
        <v>616</v>
      </c>
      <c r="F208" s="30">
        <v>100.85</v>
      </c>
      <c r="H208" s="30">
        <f>ROUND(F208*AE208,2)</f>
        <v>0</v>
      </c>
      <c r="I208" s="30">
        <f>J208-H208</f>
        <v>0</v>
      </c>
      <c r="J208" s="30">
        <f>ROUND(F208*G208,2)</f>
        <v>0</v>
      </c>
      <c r="K208" s="30">
        <v>0</v>
      </c>
      <c r="L208" s="30">
        <f>F208*K208</f>
        <v>0</v>
      </c>
      <c r="N208" s="50" t="s">
        <v>7</v>
      </c>
      <c r="O208" s="30">
        <f>IF(N208="5",I208,0)</f>
        <v>0</v>
      </c>
      <c r="Z208" s="30">
        <f>IF(AD208=0,J208,0)</f>
        <v>0</v>
      </c>
      <c r="AA208" s="30">
        <f>IF(AD208=15,J208,0)</f>
        <v>0</v>
      </c>
      <c r="AB208" s="30">
        <f>IF(AD208=21,J208,0)</f>
        <v>0</v>
      </c>
      <c r="AD208" s="30">
        <v>21</v>
      </c>
      <c r="AE208" s="30">
        <f>G208*0.103422619047619</f>
        <v>0</v>
      </c>
      <c r="AF208" s="30">
        <f>G208*(1-0.103422619047619)</f>
        <v>0</v>
      </c>
    </row>
    <row r="209" spans="1:32" ht="12.75">
      <c r="A209" s="10" t="s">
        <v>161</v>
      </c>
      <c r="B209" s="10" t="s">
        <v>261</v>
      </c>
      <c r="C209" s="10" t="s">
        <v>370</v>
      </c>
      <c r="D209" s="10" t="s">
        <v>553</v>
      </c>
      <c r="E209" s="10" t="s">
        <v>622</v>
      </c>
      <c r="F209" s="30">
        <v>1</v>
      </c>
      <c r="H209" s="30">
        <f>ROUND(F209*AE209,2)</f>
        <v>0</v>
      </c>
      <c r="I209" s="30">
        <f>J209-H209</f>
        <v>0</v>
      </c>
      <c r="J209" s="30">
        <f>ROUND(F209*G209,2)</f>
        <v>0</v>
      </c>
      <c r="K209" s="30">
        <v>0.00017</v>
      </c>
      <c r="L209" s="30">
        <f>F209*K209</f>
        <v>0.00017</v>
      </c>
      <c r="N209" s="50" t="s">
        <v>7</v>
      </c>
      <c r="O209" s="30">
        <f>IF(N209="5",I209,0)</f>
        <v>0</v>
      </c>
      <c r="Z209" s="30">
        <f>IF(AD209=0,J209,0)</f>
        <v>0</v>
      </c>
      <c r="AA209" s="30">
        <f>IF(AD209=15,J209,0)</f>
        <v>0</v>
      </c>
      <c r="AB209" s="30">
        <f>IF(AD209=21,J209,0)</f>
        <v>0</v>
      </c>
      <c r="AD209" s="30">
        <v>21</v>
      </c>
      <c r="AE209" s="30">
        <f>G209*0.159025882517363</f>
        <v>0</v>
      </c>
      <c r="AF209" s="30">
        <f>G209*(1-0.159025882517363)</f>
        <v>0</v>
      </c>
    </row>
    <row r="210" spans="1:37" ht="12.75">
      <c r="A210" s="9"/>
      <c r="B210" s="9"/>
      <c r="C210" s="20" t="s">
        <v>97</v>
      </c>
      <c r="D210" s="25" t="s">
        <v>476</v>
      </c>
      <c r="E210" s="28"/>
      <c r="F210" s="28"/>
      <c r="G210" s="28"/>
      <c r="H210" s="52">
        <f>SUM(H211:H215)</f>
        <v>0</v>
      </c>
      <c r="I210" s="52">
        <f>SUM(I211:I215)</f>
        <v>0</v>
      </c>
      <c r="J210" s="52">
        <f>H210+I210</f>
        <v>0</v>
      </c>
      <c r="K210" s="44"/>
      <c r="L210" s="52">
        <f>SUM(L211:L215)</f>
        <v>9.445026200000001</v>
      </c>
      <c r="P210" s="52">
        <f>IF(Q210="PR",J210,SUM(O211:O215))</f>
        <v>0</v>
      </c>
      <c r="Q210" s="44" t="s">
        <v>641</v>
      </c>
      <c r="R210" s="52">
        <f>IF(Q210="HS",H210,0)</f>
        <v>0</v>
      </c>
      <c r="S210" s="52">
        <f>IF(Q210="HS",I210-P210,0)</f>
        <v>0</v>
      </c>
      <c r="T210" s="52">
        <f>IF(Q210="PS",H210,0)</f>
        <v>0</v>
      </c>
      <c r="U210" s="52">
        <f>IF(Q210="PS",I210-P210,0)</f>
        <v>0</v>
      </c>
      <c r="V210" s="52">
        <f>IF(Q210="MP",H210,0)</f>
        <v>0</v>
      </c>
      <c r="W210" s="52">
        <f>IF(Q210="MP",I210-P210,0)</f>
        <v>0</v>
      </c>
      <c r="X210" s="52">
        <f>IF(Q210="OM",H210,0)</f>
        <v>0</v>
      </c>
      <c r="Y210" s="44" t="s">
        <v>261</v>
      </c>
      <c r="AI210" s="52">
        <f>SUM(Z211:Z215)</f>
        <v>0</v>
      </c>
      <c r="AJ210" s="52">
        <f>SUM(AA211:AA215)</f>
        <v>0</v>
      </c>
      <c r="AK210" s="52">
        <f>SUM(AB211:AB215)</f>
        <v>0</v>
      </c>
    </row>
    <row r="211" spans="1:32" ht="12.75">
      <c r="A211" s="10" t="s">
        <v>162</v>
      </c>
      <c r="B211" s="10" t="s">
        <v>261</v>
      </c>
      <c r="C211" s="10" t="s">
        <v>371</v>
      </c>
      <c r="D211" s="10" t="s">
        <v>554</v>
      </c>
      <c r="E211" s="10" t="s">
        <v>615</v>
      </c>
      <c r="F211" s="30">
        <v>0.79</v>
      </c>
      <c r="H211" s="30">
        <f>ROUND(F211*AE211,2)</f>
        <v>0</v>
      </c>
      <c r="I211" s="30">
        <f>J211-H211</f>
        <v>0</v>
      </c>
      <c r="J211" s="30">
        <f>ROUND(F211*G211,2)</f>
        <v>0</v>
      </c>
      <c r="K211" s="30">
        <v>3.07378</v>
      </c>
      <c r="L211" s="30">
        <f>F211*K211</f>
        <v>2.4282862</v>
      </c>
      <c r="N211" s="50" t="s">
        <v>7</v>
      </c>
      <c r="O211" s="30">
        <f>IF(N211="5",I211,0)</f>
        <v>0</v>
      </c>
      <c r="Z211" s="30">
        <f>IF(AD211=0,J211,0)</f>
        <v>0</v>
      </c>
      <c r="AA211" s="30">
        <f>IF(AD211=15,J211,0)</f>
        <v>0</v>
      </c>
      <c r="AB211" s="30">
        <f>IF(AD211=21,J211,0)</f>
        <v>0</v>
      </c>
      <c r="AD211" s="30">
        <v>21</v>
      </c>
      <c r="AE211" s="30">
        <f>G211*0.904768731940799</f>
        <v>0</v>
      </c>
      <c r="AF211" s="30">
        <f>G211*(1-0.904768731940799)</f>
        <v>0</v>
      </c>
    </row>
    <row r="212" spans="1:32" ht="12.75">
      <c r="A212" s="10" t="s">
        <v>163</v>
      </c>
      <c r="B212" s="10" t="s">
        <v>261</v>
      </c>
      <c r="C212" s="10" t="s">
        <v>372</v>
      </c>
      <c r="D212" s="10" t="s">
        <v>555</v>
      </c>
      <c r="E212" s="10" t="s">
        <v>615</v>
      </c>
      <c r="F212" s="30">
        <v>0.79</v>
      </c>
      <c r="H212" s="30">
        <f>ROUND(F212*AE212,2)</f>
        <v>0</v>
      </c>
      <c r="I212" s="30">
        <f>J212-H212</f>
        <v>0</v>
      </c>
      <c r="J212" s="30">
        <f>ROUND(F212*G212,2)</f>
        <v>0</v>
      </c>
      <c r="K212" s="30">
        <v>0</v>
      </c>
      <c r="L212" s="30">
        <f>F212*K212</f>
        <v>0</v>
      </c>
      <c r="N212" s="50" t="s">
        <v>9</v>
      </c>
      <c r="O212" s="30">
        <f>IF(N212="5",I212,0)</f>
        <v>0</v>
      </c>
      <c r="Z212" s="30">
        <f>IF(AD212=0,J212,0)</f>
        <v>0</v>
      </c>
      <c r="AA212" s="30">
        <f>IF(AD212=15,J212,0)</f>
        <v>0</v>
      </c>
      <c r="AB212" s="30">
        <f>IF(AD212=21,J212,0)</f>
        <v>0</v>
      </c>
      <c r="AD212" s="30">
        <v>21</v>
      </c>
      <c r="AE212" s="30">
        <f>G212*0</f>
        <v>0</v>
      </c>
      <c r="AF212" s="30">
        <f>G212*(1-0)</f>
        <v>0</v>
      </c>
    </row>
    <row r="213" spans="1:32" ht="12.75">
      <c r="A213" s="10" t="s">
        <v>164</v>
      </c>
      <c r="B213" s="10" t="s">
        <v>261</v>
      </c>
      <c r="C213" s="10" t="s">
        <v>358</v>
      </c>
      <c r="D213" s="10" t="s">
        <v>538</v>
      </c>
      <c r="E213" s="10" t="s">
        <v>615</v>
      </c>
      <c r="F213" s="30">
        <v>0.79</v>
      </c>
      <c r="H213" s="30">
        <f>ROUND(F213*AE213,2)</f>
        <v>0</v>
      </c>
      <c r="I213" s="30">
        <f>J213-H213</f>
        <v>0</v>
      </c>
      <c r="J213" s="30">
        <f>ROUND(F213*G213,2)</f>
        <v>0</v>
      </c>
      <c r="K213" s="30">
        <v>0</v>
      </c>
      <c r="L213" s="30">
        <f>F213*K213</f>
        <v>0</v>
      </c>
      <c r="N213" s="50" t="s">
        <v>7</v>
      </c>
      <c r="O213" s="30">
        <f>IF(N213="5",I213,0)</f>
        <v>0</v>
      </c>
      <c r="Z213" s="30">
        <f>IF(AD213=0,J213,0)</f>
        <v>0</v>
      </c>
      <c r="AA213" s="30">
        <f>IF(AD213=15,J213,0)</f>
        <v>0</v>
      </c>
      <c r="AB213" s="30">
        <f>IF(AD213=21,J213,0)</f>
        <v>0</v>
      </c>
      <c r="AD213" s="30">
        <v>21</v>
      </c>
      <c r="AE213" s="30">
        <f>G213*0</f>
        <v>0</v>
      </c>
      <c r="AF213" s="30">
        <f>G213*(1-0)</f>
        <v>0</v>
      </c>
    </row>
    <row r="214" spans="1:32" ht="12.75">
      <c r="A214" s="10" t="s">
        <v>165</v>
      </c>
      <c r="B214" s="10" t="s">
        <v>261</v>
      </c>
      <c r="C214" s="10" t="s">
        <v>373</v>
      </c>
      <c r="D214" s="10" t="s">
        <v>556</v>
      </c>
      <c r="E214" s="10" t="s">
        <v>615</v>
      </c>
      <c r="F214" s="30">
        <v>0.79</v>
      </c>
      <c r="H214" s="30">
        <f>ROUND(F214*AE214,2)</f>
        <v>0</v>
      </c>
      <c r="I214" s="30">
        <f>J214-H214</f>
        <v>0</v>
      </c>
      <c r="J214" s="30">
        <f>ROUND(F214*G214,2)</f>
        <v>0</v>
      </c>
      <c r="K214" s="30">
        <v>0</v>
      </c>
      <c r="L214" s="30">
        <f>F214*K214</f>
        <v>0</v>
      </c>
      <c r="N214" s="50" t="s">
        <v>7</v>
      </c>
      <c r="O214" s="30">
        <f>IF(N214="5",I214,0)</f>
        <v>0</v>
      </c>
      <c r="Z214" s="30">
        <f>IF(AD214=0,J214,0)</f>
        <v>0</v>
      </c>
      <c r="AA214" s="30">
        <f>IF(AD214=15,J214,0)</f>
        <v>0</v>
      </c>
      <c r="AB214" s="30">
        <f>IF(AD214=21,J214,0)</f>
        <v>0</v>
      </c>
      <c r="AD214" s="30">
        <v>21</v>
      </c>
      <c r="AE214" s="30">
        <f>G214*0</f>
        <v>0</v>
      </c>
      <c r="AF214" s="30">
        <f>G214*(1-0)</f>
        <v>0</v>
      </c>
    </row>
    <row r="215" spans="1:32" ht="12.75">
      <c r="A215" s="10" t="s">
        <v>166</v>
      </c>
      <c r="B215" s="10" t="s">
        <v>261</v>
      </c>
      <c r="C215" s="10" t="s">
        <v>374</v>
      </c>
      <c r="D215" s="10" t="s">
        <v>557</v>
      </c>
      <c r="E215" s="10" t="s">
        <v>613</v>
      </c>
      <c r="F215" s="30">
        <v>1</v>
      </c>
      <c r="H215" s="30">
        <f>ROUND(F215*AE215,2)</f>
        <v>0</v>
      </c>
      <c r="I215" s="30">
        <f>J215-H215</f>
        <v>0</v>
      </c>
      <c r="J215" s="30">
        <f>ROUND(F215*G215,2)</f>
        <v>0</v>
      </c>
      <c r="K215" s="30">
        <v>7.01674</v>
      </c>
      <c r="L215" s="30">
        <f>F215*K215</f>
        <v>7.01674</v>
      </c>
      <c r="N215" s="50" t="s">
        <v>7</v>
      </c>
      <c r="O215" s="30">
        <f>IF(N215="5",I215,0)</f>
        <v>0</v>
      </c>
      <c r="Z215" s="30">
        <f>IF(AD215=0,J215,0)</f>
        <v>0</v>
      </c>
      <c r="AA215" s="30">
        <f>IF(AD215=15,J215,0)</f>
        <v>0</v>
      </c>
      <c r="AB215" s="30">
        <f>IF(AD215=21,J215,0)</f>
        <v>0</v>
      </c>
      <c r="AD215" s="30">
        <v>21</v>
      </c>
      <c r="AE215" s="30">
        <f>G215*0.465761634033931</f>
        <v>0</v>
      </c>
      <c r="AF215" s="30">
        <f>G215*(1-0.465761634033931)</f>
        <v>0</v>
      </c>
    </row>
    <row r="216" spans="1:37" ht="12.75">
      <c r="A216" s="9"/>
      <c r="B216" s="9"/>
      <c r="C216" s="20"/>
      <c r="D216" s="25" t="s">
        <v>487</v>
      </c>
      <c r="E216" s="28"/>
      <c r="F216" s="28"/>
      <c r="G216" s="28"/>
      <c r="H216" s="52">
        <f>SUM(H217:H232)</f>
        <v>0</v>
      </c>
      <c r="I216" s="52">
        <f>SUM(I217:I232)</f>
        <v>0</v>
      </c>
      <c r="J216" s="52">
        <f>H216+I216</f>
        <v>0</v>
      </c>
      <c r="K216" s="44"/>
      <c r="L216" s="52">
        <f>SUM(L217:L232)</f>
        <v>83.32494</v>
      </c>
      <c r="P216" s="52">
        <f>IF(Q216="PR",J216,SUM(O217:O232))</f>
        <v>0</v>
      </c>
      <c r="Q216" s="44" t="s">
        <v>643</v>
      </c>
      <c r="R216" s="52">
        <f>IF(Q216="HS",H216,0)</f>
        <v>0</v>
      </c>
      <c r="S216" s="52">
        <f>IF(Q216="HS",I216-P216,0)</f>
        <v>0</v>
      </c>
      <c r="T216" s="52">
        <f>IF(Q216="PS",H216,0)</f>
        <v>0</v>
      </c>
      <c r="U216" s="52">
        <f>IF(Q216="PS",I216-P216,0)</f>
        <v>0</v>
      </c>
      <c r="V216" s="52">
        <f>IF(Q216="MP",H216,0)</f>
        <v>0</v>
      </c>
      <c r="W216" s="52">
        <f>IF(Q216="MP",I216-P216,0)</f>
        <v>0</v>
      </c>
      <c r="X216" s="52">
        <f>IF(Q216="OM",H216,0)</f>
        <v>0</v>
      </c>
      <c r="Y216" s="44" t="s">
        <v>261</v>
      </c>
      <c r="AI216" s="52">
        <f>SUM(Z217:Z232)</f>
        <v>0</v>
      </c>
      <c r="AJ216" s="52">
        <f>SUM(AA217:AA232)</f>
        <v>0</v>
      </c>
      <c r="AK216" s="52">
        <f>SUM(AB217:AB232)</f>
        <v>0</v>
      </c>
    </row>
    <row r="217" spans="1:32" ht="12.75">
      <c r="A217" s="10" t="s">
        <v>167</v>
      </c>
      <c r="B217" s="10" t="s">
        <v>261</v>
      </c>
      <c r="C217" s="10" t="s">
        <v>375</v>
      </c>
      <c r="D217" s="10" t="s">
        <v>558</v>
      </c>
      <c r="E217" s="10" t="s">
        <v>616</v>
      </c>
      <c r="F217" s="30">
        <v>17.59</v>
      </c>
      <c r="H217" s="30">
        <f aca="true" t="shared" si="78" ref="H217:H232">ROUND(F217*AE217,2)</f>
        <v>0</v>
      </c>
      <c r="I217" s="30">
        <f aca="true" t="shared" si="79" ref="I217:I232">J217-H217</f>
        <v>0</v>
      </c>
      <c r="J217" s="30">
        <f aca="true" t="shared" si="80" ref="J217:J232">ROUND(F217*G217,2)</f>
        <v>0</v>
      </c>
      <c r="K217" s="30">
        <v>0</v>
      </c>
      <c r="L217" s="30">
        <f aca="true" t="shared" si="81" ref="L217:L232">F217*K217</f>
        <v>0</v>
      </c>
      <c r="N217" s="50" t="s">
        <v>266</v>
      </c>
      <c r="O217" s="30">
        <f aca="true" t="shared" si="82" ref="O217:O232">IF(N217="5",I217,0)</f>
        <v>0</v>
      </c>
      <c r="Z217" s="30">
        <f aca="true" t="shared" si="83" ref="Z217:Z232">IF(AD217=0,J217,0)</f>
        <v>0</v>
      </c>
      <c r="AA217" s="30">
        <f aca="true" t="shared" si="84" ref="AA217:AA232">IF(AD217=15,J217,0)</f>
        <v>0</v>
      </c>
      <c r="AB217" s="30">
        <f aca="true" t="shared" si="85" ref="AB217:AB232">IF(AD217=21,J217,0)</f>
        <v>0</v>
      </c>
      <c r="AD217" s="30">
        <v>21</v>
      </c>
      <c r="AE217" s="30">
        <f aca="true" t="shared" si="86" ref="AE217:AE232">G217*1</f>
        <v>0</v>
      </c>
      <c r="AF217" s="30">
        <f aca="true" t="shared" si="87" ref="AF217:AF232">G217*(1-1)</f>
        <v>0</v>
      </c>
    </row>
    <row r="218" spans="1:32" ht="12.75">
      <c r="A218" s="10" t="s">
        <v>168</v>
      </c>
      <c r="B218" s="10" t="s">
        <v>261</v>
      </c>
      <c r="C218" s="10" t="s">
        <v>376</v>
      </c>
      <c r="D218" s="10" t="s">
        <v>559</v>
      </c>
      <c r="E218" s="10" t="s">
        <v>618</v>
      </c>
      <c r="F218" s="30">
        <v>2</v>
      </c>
      <c r="H218" s="30">
        <f t="shared" si="78"/>
        <v>0</v>
      </c>
      <c r="I218" s="30">
        <f t="shared" si="79"/>
        <v>0</v>
      </c>
      <c r="J218" s="30">
        <f t="shared" si="80"/>
        <v>0</v>
      </c>
      <c r="K218" s="30">
        <v>0</v>
      </c>
      <c r="L218" s="30">
        <f t="shared" si="81"/>
        <v>0</v>
      </c>
      <c r="N218" s="50" t="s">
        <v>266</v>
      </c>
      <c r="O218" s="30">
        <f t="shared" si="82"/>
        <v>0</v>
      </c>
      <c r="Z218" s="30">
        <f t="shared" si="83"/>
        <v>0</v>
      </c>
      <c r="AA218" s="30">
        <f t="shared" si="84"/>
        <v>0</v>
      </c>
      <c r="AB218" s="30">
        <f t="shared" si="85"/>
        <v>0</v>
      </c>
      <c r="AD218" s="30">
        <v>21</v>
      </c>
      <c r="AE218" s="30">
        <f t="shared" si="86"/>
        <v>0</v>
      </c>
      <c r="AF218" s="30">
        <f t="shared" si="87"/>
        <v>0</v>
      </c>
    </row>
    <row r="219" spans="1:32" ht="12.75">
      <c r="A219" s="10" t="s">
        <v>169</v>
      </c>
      <c r="B219" s="10" t="s">
        <v>261</v>
      </c>
      <c r="C219" s="10" t="s">
        <v>377</v>
      </c>
      <c r="D219" s="10" t="s">
        <v>560</v>
      </c>
      <c r="E219" s="10" t="s">
        <v>620</v>
      </c>
      <c r="F219" s="30">
        <v>82.68</v>
      </c>
      <c r="H219" s="30">
        <f t="shared" si="78"/>
        <v>0</v>
      </c>
      <c r="I219" s="30">
        <f t="shared" si="79"/>
        <v>0</v>
      </c>
      <c r="J219" s="30">
        <f t="shared" si="80"/>
        <v>0</v>
      </c>
      <c r="K219" s="30">
        <v>1</v>
      </c>
      <c r="L219" s="30">
        <f t="shared" si="81"/>
        <v>82.68</v>
      </c>
      <c r="N219" s="50" t="s">
        <v>266</v>
      </c>
      <c r="O219" s="30">
        <f t="shared" si="82"/>
        <v>0</v>
      </c>
      <c r="Z219" s="30">
        <f t="shared" si="83"/>
        <v>0</v>
      </c>
      <c r="AA219" s="30">
        <f t="shared" si="84"/>
        <v>0</v>
      </c>
      <c r="AB219" s="30">
        <f t="shared" si="85"/>
        <v>0</v>
      </c>
      <c r="AD219" s="30">
        <v>21</v>
      </c>
      <c r="AE219" s="30">
        <f t="shared" si="86"/>
        <v>0</v>
      </c>
      <c r="AF219" s="30">
        <f t="shared" si="87"/>
        <v>0</v>
      </c>
    </row>
    <row r="220" spans="1:32" ht="12.75">
      <c r="A220" s="10" t="s">
        <v>170</v>
      </c>
      <c r="B220" s="10" t="s">
        <v>261</v>
      </c>
      <c r="C220" s="10" t="s">
        <v>378</v>
      </c>
      <c r="D220" s="10" t="s">
        <v>561</v>
      </c>
      <c r="E220" s="10" t="s">
        <v>613</v>
      </c>
      <c r="F220" s="30">
        <v>1</v>
      </c>
      <c r="H220" s="30">
        <f t="shared" si="78"/>
        <v>0</v>
      </c>
      <c r="I220" s="30">
        <f t="shared" si="79"/>
        <v>0</v>
      </c>
      <c r="J220" s="30">
        <f t="shared" si="80"/>
        <v>0</v>
      </c>
      <c r="K220" s="30">
        <v>0.022</v>
      </c>
      <c r="L220" s="30">
        <f t="shared" si="81"/>
        <v>0.022</v>
      </c>
      <c r="N220" s="50" t="s">
        <v>266</v>
      </c>
      <c r="O220" s="30">
        <f t="shared" si="82"/>
        <v>0</v>
      </c>
      <c r="Z220" s="30">
        <f t="shared" si="83"/>
        <v>0</v>
      </c>
      <c r="AA220" s="30">
        <f t="shared" si="84"/>
        <v>0</v>
      </c>
      <c r="AB220" s="30">
        <f t="shared" si="85"/>
        <v>0</v>
      </c>
      <c r="AD220" s="30">
        <v>21</v>
      </c>
      <c r="AE220" s="30">
        <f t="shared" si="86"/>
        <v>0</v>
      </c>
      <c r="AF220" s="30">
        <f t="shared" si="87"/>
        <v>0</v>
      </c>
    </row>
    <row r="221" spans="1:32" ht="12.75">
      <c r="A221" s="10" t="s">
        <v>171</v>
      </c>
      <c r="B221" s="10" t="s">
        <v>261</v>
      </c>
      <c r="C221" s="10" t="s">
        <v>379</v>
      </c>
      <c r="D221" s="10" t="s">
        <v>562</v>
      </c>
      <c r="E221" s="10" t="s">
        <v>613</v>
      </c>
      <c r="F221" s="30">
        <v>1</v>
      </c>
      <c r="H221" s="30">
        <f t="shared" si="78"/>
        <v>0</v>
      </c>
      <c r="I221" s="30">
        <f t="shared" si="79"/>
        <v>0</v>
      </c>
      <c r="J221" s="30">
        <f t="shared" si="80"/>
        <v>0</v>
      </c>
      <c r="K221" s="30">
        <v>0.1523</v>
      </c>
      <c r="L221" s="30">
        <f t="shared" si="81"/>
        <v>0.1523</v>
      </c>
      <c r="N221" s="50" t="s">
        <v>266</v>
      </c>
      <c r="O221" s="30">
        <f t="shared" si="82"/>
        <v>0</v>
      </c>
      <c r="Z221" s="30">
        <f t="shared" si="83"/>
        <v>0</v>
      </c>
      <c r="AA221" s="30">
        <f t="shared" si="84"/>
        <v>0</v>
      </c>
      <c r="AB221" s="30">
        <f t="shared" si="85"/>
        <v>0</v>
      </c>
      <c r="AD221" s="30">
        <v>21</v>
      </c>
      <c r="AE221" s="30">
        <f t="shared" si="86"/>
        <v>0</v>
      </c>
      <c r="AF221" s="30">
        <f t="shared" si="87"/>
        <v>0</v>
      </c>
    </row>
    <row r="222" spans="1:32" ht="12.75">
      <c r="A222" s="10" t="s">
        <v>172</v>
      </c>
      <c r="B222" s="10" t="s">
        <v>261</v>
      </c>
      <c r="C222" s="10" t="s">
        <v>380</v>
      </c>
      <c r="D222" s="10" t="s">
        <v>563</v>
      </c>
      <c r="E222" s="10" t="s">
        <v>613</v>
      </c>
      <c r="F222" s="30">
        <v>2</v>
      </c>
      <c r="H222" s="30">
        <f t="shared" si="78"/>
        <v>0</v>
      </c>
      <c r="I222" s="30">
        <f t="shared" si="79"/>
        <v>0</v>
      </c>
      <c r="J222" s="30">
        <f t="shared" si="80"/>
        <v>0</v>
      </c>
      <c r="K222" s="30">
        <v>0.169</v>
      </c>
      <c r="L222" s="30">
        <f t="shared" si="81"/>
        <v>0.338</v>
      </c>
      <c r="N222" s="50" t="s">
        <v>266</v>
      </c>
      <c r="O222" s="30">
        <f t="shared" si="82"/>
        <v>0</v>
      </c>
      <c r="Z222" s="30">
        <f t="shared" si="83"/>
        <v>0</v>
      </c>
      <c r="AA222" s="30">
        <f t="shared" si="84"/>
        <v>0</v>
      </c>
      <c r="AB222" s="30">
        <f t="shared" si="85"/>
        <v>0</v>
      </c>
      <c r="AD222" s="30">
        <v>21</v>
      </c>
      <c r="AE222" s="30">
        <f t="shared" si="86"/>
        <v>0</v>
      </c>
      <c r="AF222" s="30">
        <f t="shared" si="87"/>
        <v>0</v>
      </c>
    </row>
    <row r="223" spans="1:32" ht="12.75">
      <c r="A223" s="10" t="s">
        <v>173</v>
      </c>
      <c r="B223" s="10" t="s">
        <v>261</v>
      </c>
      <c r="C223" s="10" t="s">
        <v>381</v>
      </c>
      <c r="D223" s="10" t="s">
        <v>564</v>
      </c>
      <c r="E223" s="10" t="s">
        <v>613</v>
      </c>
      <c r="F223" s="30">
        <v>1</v>
      </c>
      <c r="H223" s="30">
        <f t="shared" si="78"/>
        <v>0</v>
      </c>
      <c r="I223" s="30">
        <f t="shared" si="79"/>
        <v>0</v>
      </c>
      <c r="J223" s="30">
        <f t="shared" si="80"/>
        <v>0</v>
      </c>
      <c r="K223" s="30">
        <v>0.021</v>
      </c>
      <c r="L223" s="30">
        <f t="shared" si="81"/>
        <v>0.021</v>
      </c>
      <c r="N223" s="50" t="s">
        <v>266</v>
      </c>
      <c r="O223" s="30">
        <f t="shared" si="82"/>
        <v>0</v>
      </c>
      <c r="Z223" s="30">
        <f t="shared" si="83"/>
        <v>0</v>
      </c>
      <c r="AA223" s="30">
        <f t="shared" si="84"/>
        <v>0</v>
      </c>
      <c r="AB223" s="30">
        <f t="shared" si="85"/>
        <v>0</v>
      </c>
      <c r="AD223" s="30">
        <v>21</v>
      </c>
      <c r="AE223" s="30">
        <f t="shared" si="86"/>
        <v>0</v>
      </c>
      <c r="AF223" s="30">
        <f t="shared" si="87"/>
        <v>0</v>
      </c>
    </row>
    <row r="224" spans="1:32" ht="12.75">
      <c r="A224" s="10" t="s">
        <v>174</v>
      </c>
      <c r="B224" s="10" t="s">
        <v>261</v>
      </c>
      <c r="C224" s="10" t="s">
        <v>382</v>
      </c>
      <c r="D224" s="10" t="s">
        <v>565</v>
      </c>
      <c r="E224" s="10" t="s">
        <v>613</v>
      </c>
      <c r="F224" s="30">
        <v>1</v>
      </c>
      <c r="H224" s="30">
        <f t="shared" si="78"/>
        <v>0</v>
      </c>
      <c r="I224" s="30">
        <f t="shared" si="79"/>
        <v>0</v>
      </c>
      <c r="J224" s="30">
        <f t="shared" si="80"/>
        <v>0</v>
      </c>
      <c r="K224" s="30">
        <v>0.0275</v>
      </c>
      <c r="L224" s="30">
        <f t="shared" si="81"/>
        <v>0.0275</v>
      </c>
      <c r="N224" s="50" t="s">
        <v>266</v>
      </c>
      <c r="O224" s="30">
        <f t="shared" si="82"/>
        <v>0</v>
      </c>
      <c r="Z224" s="30">
        <f t="shared" si="83"/>
        <v>0</v>
      </c>
      <c r="AA224" s="30">
        <f t="shared" si="84"/>
        <v>0</v>
      </c>
      <c r="AB224" s="30">
        <f t="shared" si="85"/>
        <v>0</v>
      </c>
      <c r="AD224" s="30">
        <v>21</v>
      </c>
      <c r="AE224" s="30">
        <f t="shared" si="86"/>
        <v>0</v>
      </c>
      <c r="AF224" s="30">
        <f t="shared" si="87"/>
        <v>0</v>
      </c>
    </row>
    <row r="225" spans="1:32" ht="12.75">
      <c r="A225" s="10" t="s">
        <v>175</v>
      </c>
      <c r="B225" s="10" t="s">
        <v>261</v>
      </c>
      <c r="C225" s="10" t="s">
        <v>383</v>
      </c>
      <c r="D225" s="10" t="s">
        <v>566</v>
      </c>
      <c r="E225" s="10" t="s">
        <v>613</v>
      </c>
      <c r="F225" s="30">
        <v>3</v>
      </c>
      <c r="H225" s="30">
        <f t="shared" si="78"/>
        <v>0</v>
      </c>
      <c r="I225" s="30">
        <f t="shared" si="79"/>
        <v>0</v>
      </c>
      <c r="J225" s="30">
        <f t="shared" si="80"/>
        <v>0</v>
      </c>
      <c r="K225" s="30">
        <v>0.0262</v>
      </c>
      <c r="L225" s="30">
        <f t="shared" si="81"/>
        <v>0.0786</v>
      </c>
      <c r="N225" s="50" t="s">
        <v>266</v>
      </c>
      <c r="O225" s="30">
        <f t="shared" si="82"/>
        <v>0</v>
      </c>
      <c r="Z225" s="30">
        <f t="shared" si="83"/>
        <v>0</v>
      </c>
      <c r="AA225" s="30">
        <f t="shared" si="84"/>
        <v>0</v>
      </c>
      <c r="AB225" s="30">
        <f t="shared" si="85"/>
        <v>0</v>
      </c>
      <c r="AD225" s="30">
        <v>21</v>
      </c>
      <c r="AE225" s="30">
        <f t="shared" si="86"/>
        <v>0</v>
      </c>
      <c r="AF225" s="30">
        <f t="shared" si="87"/>
        <v>0</v>
      </c>
    </row>
    <row r="226" spans="1:32" ht="12.75">
      <c r="A226" s="10" t="s">
        <v>176</v>
      </c>
      <c r="B226" s="10" t="s">
        <v>261</v>
      </c>
      <c r="C226" s="10" t="s">
        <v>384</v>
      </c>
      <c r="D226" s="10" t="s">
        <v>567</v>
      </c>
      <c r="E226" s="10" t="s">
        <v>613</v>
      </c>
      <c r="F226" s="30">
        <v>1</v>
      </c>
      <c r="H226" s="30">
        <f t="shared" si="78"/>
        <v>0</v>
      </c>
      <c r="I226" s="30">
        <f t="shared" si="79"/>
        <v>0</v>
      </c>
      <c r="J226" s="30">
        <f t="shared" si="80"/>
        <v>0</v>
      </c>
      <c r="K226" s="30">
        <v>0.0031</v>
      </c>
      <c r="L226" s="30">
        <f t="shared" si="81"/>
        <v>0.0031</v>
      </c>
      <c r="N226" s="50" t="s">
        <v>266</v>
      </c>
      <c r="O226" s="30">
        <f t="shared" si="82"/>
        <v>0</v>
      </c>
      <c r="Z226" s="30">
        <f t="shared" si="83"/>
        <v>0</v>
      </c>
      <c r="AA226" s="30">
        <f t="shared" si="84"/>
        <v>0</v>
      </c>
      <c r="AB226" s="30">
        <f t="shared" si="85"/>
        <v>0</v>
      </c>
      <c r="AD226" s="30">
        <v>21</v>
      </c>
      <c r="AE226" s="30">
        <f t="shared" si="86"/>
        <v>0</v>
      </c>
      <c r="AF226" s="30">
        <f t="shared" si="87"/>
        <v>0</v>
      </c>
    </row>
    <row r="227" spans="1:32" ht="12.75">
      <c r="A227" s="10" t="s">
        <v>177</v>
      </c>
      <c r="B227" s="10" t="s">
        <v>261</v>
      </c>
      <c r="C227" s="10" t="s">
        <v>385</v>
      </c>
      <c r="D227" s="10" t="s">
        <v>568</v>
      </c>
      <c r="E227" s="10" t="s">
        <v>616</v>
      </c>
      <c r="F227" s="30">
        <v>33.26</v>
      </c>
      <c r="H227" s="30">
        <f t="shared" si="78"/>
        <v>0</v>
      </c>
      <c r="I227" s="30">
        <f t="shared" si="79"/>
        <v>0</v>
      </c>
      <c r="J227" s="30">
        <f t="shared" si="80"/>
        <v>0</v>
      </c>
      <c r="K227" s="30">
        <v>0</v>
      </c>
      <c r="L227" s="30">
        <f t="shared" si="81"/>
        <v>0</v>
      </c>
      <c r="N227" s="50" t="s">
        <v>266</v>
      </c>
      <c r="O227" s="30">
        <f t="shared" si="82"/>
        <v>0</v>
      </c>
      <c r="Z227" s="30">
        <f t="shared" si="83"/>
        <v>0</v>
      </c>
      <c r="AA227" s="30">
        <f t="shared" si="84"/>
        <v>0</v>
      </c>
      <c r="AB227" s="30">
        <f t="shared" si="85"/>
        <v>0</v>
      </c>
      <c r="AD227" s="30">
        <v>21</v>
      </c>
      <c r="AE227" s="30">
        <f t="shared" si="86"/>
        <v>0</v>
      </c>
      <c r="AF227" s="30">
        <f t="shared" si="87"/>
        <v>0</v>
      </c>
    </row>
    <row r="228" spans="1:32" ht="12.75">
      <c r="A228" s="10" t="s">
        <v>178</v>
      </c>
      <c r="B228" s="10" t="s">
        <v>261</v>
      </c>
      <c r="C228" s="10" t="s">
        <v>386</v>
      </c>
      <c r="D228" s="10" t="s">
        <v>569</v>
      </c>
      <c r="E228" s="10" t="s">
        <v>616</v>
      </c>
      <c r="F228" s="30">
        <v>50</v>
      </c>
      <c r="H228" s="30">
        <f t="shared" si="78"/>
        <v>0</v>
      </c>
      <c r="I228" s="30">
        <f t="shared" si="79"/>
        <v>0</v>
      </c>
      <c r="J228" s="30">
        <f t="shared" si="80"/>
        <v>0</v>
      </c>
      <c r="K228" s="30">
        <v>0</v>
      </c>
      <c r="L228" s="30">
        <f t="shared" si="81"/>
        <v>0</v>
      </c>
      <c r="N228" s="50" t="s">
        <v>266</v>
      </c>
      <c r="O228" s="30">
        <f t="shared" si="82"/>
        <v>0</v>
      </c>
      <c r="Z228" s="30">
        <f t="shared" si="83"/>
        <v>0</v>
      </c>
      <c r="AA228" s="30">
        <f t="shared" si="84"/>
        <v>0</v>
      </c>
      <c r="AB228" s="30">
        <f t="shared" si="85"/>
        <v>0</v>
      </c>
      <c r="AD228" s="30">
        <v>21</v>
      </c>
      <c r="AE228" s="30">
        <f t="shared" si="86"/>
        <v>0</v>
      </c>
      <c r="AF228" s="30">
        <f t="shared" si="87"/>
        <v>0</v>
      </c>
    </row>
    <row r="229" spans="1:32" ht="12.75">
      <c r="A229" s="10" t="s">
        <v>179</v>
      </c>
      <c r="B229" s="10" t="s">
        <v>261</v>
      </c>
      <c r="C229" s="10" t="s">
        <v>387</v>
      </c>
      <c r="D229" s="10" t="s">
        <v>570</v>
      </c>
      <c r="E229" s="10" t="s">
        <v>618</v>
      </c>
      <c r="F229" s="30">
        <v>1</v>
      </c>
      <c r="H229" s="30">
        <f t="shared" si="78"/>
        <v>0</v>
      </c>
      <c r="I229" s="30">
        <f t="shared" si="79"/>
        <v>0</v>
      </c>
      <c r="J229" s="30">
        <f t="shared" si="80"/>
        <v>0</v>
      </c>
      <c r="K229" s="30">
        <v>0</v>
      </c>
      <c r="L229" s="30">
        <f t="shared" si="81"/>
        <v>0</v>
      </c>
      <c r="N229" s="50" t="s">
        <v>266</v>
      </c>
      <c r="O229" s="30">
        <f t="shared" si="82"/>
        <v>0</v>
      </c>
      <c r="Z229" s="30">
        <f t="shared" si="83"/>
        <v>0</v>
      </c>
      <c r="AA229" s="30">
        <f t="shared" si="84"/>
        <v>0</v>
      </c>
      <c r="AB229" s="30">
        <f t="shared" si="85"/>
        <v>0</v>
      </c>
      <c r="AD229" s="30">
        <v>21</v>
      </c>
      <c r="AE229" s="30">
        <f t="shared" si="86"/>
        <v>0</v>
      </c>
      <c r="AF229" s="30">
        <f t="shared" si="87"/>
        <v>0</v>
      </c>
    </row>
    <row r="230" spans="1:32" ht="12.75">
      <c r="A230" s="10" t="s">
        <v>180</v>
      </c>
      <c r="B230" s="10" t="s">
        <v>261</v>
      </c>
      <c r="C230" s="10" t="s">
        <v>388</v>
      </c>
      <c r="D230" s="10" t="s">
        <v>571</v>
      </c>
      <c r="E230" s="10" t="s">
        <v>618</v>
      </c>
      <c r="F230" s="30">
        <v>3</v>
      </c>
      <c r="H230" s="30">
        <f t="shared" si="78"/>
        <v>0</v>
      </c>
      <c r="I230" s="30">
        <f t="shared" si="79"/>
        <v>0</v>
      </c>
      <c r="J230" s="30">
        <f t="shared" si="80"/>
        <v>0</v>
      </c>
      <c r="K230" s="30">
        <v>0</v>
      </c>
      <c r="L230" s="30">
        <f t="shared" si="81"/>
        <v>0</v>
      </c>
      <c r="N230" s="50" t="s">
        <v>266</v>
      </c>
      <c r="O230" s="30">
        <f t="shared" si="82"/>
        <v>0</v>
      </c>
      <c r="Z230" s="30">
        <f t="shared" si="83"/>
        <v>0</v>
      </c>
      <c r="AA230" s="30">
        <f t="shared" si="84"/>
        <v>0</v>
      </c>
      <c r="AB230" s="30">
        <f t="shared" si="85"/>
        <v>0</v>
      </c>
      <c r="AD230" s="30">
        <v>21</v>
      </c>
      <c r="AE230" s="30">
        <f t="shared" si="86"/>
        <v>0</v>
      </c>
      <c r="AF230" s="30">
        <f t="shared" si="87"/>
        <v>0</v>
      </c>
    </row>
    <row r="231" spans="1:32" ht="12.75">
      <c r="A231" s="10" t="s">
        <v>181</v>
      </c>
      <c r="B231" s="10" t="s">
        <v>261</v>
      </c>
      <c r="C231" s="10" t="s">
        <v>389</v>
      </c>
      <c r="D231" s="10" t="s">
        <v>572</v>
      </c>
      <c r="E231" s="10" t="s">
        <v>613</v>
      </c>
      <c r="F231" s="30">
        <v>1</v>
      </c>
      <c r="H231" s="30">
        <f t="shared" si="78"/>
        <v>0</v>
      </c>
      <c r="I231" s="30">
        <f t="shared" si="79"/>
        <v>0</v>
      </c>
      <c r="J231" s="30">
        <f t="shared" si="80"/>
        <v>0</v>
      </c>
      <c r="K231" s="30">
        <v>0.00079</v>
      </c>
      <c r="L231" s="30">
        <f t="shared" si="81"/>
        <v>0.00079</v>
      </c>
      <c r="N231" s="50" t="s">
        <v>266</v>
      </c>
      <c r="O231" s="30">
        <f t="shared" si="82"/>
        <v>0</v>
      </c>
      <c r="Z231" s="30">
        <f t="shared" si="83"/>
        <v>0</v>
      </c>
      <c r="AA231" s="30">
        <f t="shared" si="84"/>
        <v>0</v>
      </c>
      <c r="AB231" s="30">
        <f t="shared" si="85"/>
        <v>0</v>
      </c>
      <c r="AD231" s="30">
        <v>21</v>
      </c>
      <c r="AE231" s="30">
        <f t="shared" si="86"/>
        <v>0</v>
      </c>
      <c r="AF231" s="30">
        <f t="shared" si="87"/>
        <v>0</v>
      </c>
    </row>
    <row r="232" spans="1:32" ht="12.75">
      <c r="A232" s="10" t="s">
        <v>182</v>
      </c>
      <c r="B232" s="10" t="s">
        <v>261</v>
      </c>
      <c r="C232" s="10" t="s">
        <v>390</v>
      </c>
      <c r="D232" s="10" t="s">
        <v>573</v>
      </c>
      <c r="E232" s="10" t="s">
        <v>613</v>
      </c>
      <c r="F232" s="30">
        <v>1</v>
      </c>
      <c r="H232" s="30">
        <f t="shared" si="78"/>
        <v>0</v>
      </c>
      <c r="I232" s="30">
        <f t="shared" si="79"/>
        <v>0</v>
      </c>
      <c r="J232" s="30">
        <f t="shared" si="80"/>
        <v>0</v>
      </c>
      <c r="K232" s="30">
        <v>0.00165</v>
      </c>
      <c r="L232" s="30">
        <f t="shared" si="81"/>
        <v>0.00165</v>
      </c>
      <c r="N232" s="50" t="s">
        <v>266</v>
      </c>
      <c r="O232" s="30">
        <f t="shared" si="82"/>
        <v>0</v>
      </c>
      <c r="Z232" s="30">
        <f t="shared" si="83"/>
        <v>0</v>
      </c>
      <c r="AA232" s="30">
        <f t="shared" si="84"/>
        <v>0</v>
      </c>
      <c r="AB232" s="30">
        <f t="shared" si="85"/>
        <v>0</v>
      </c>
      <c r="AD232" s="30">
        <v>21</v>
      </c>
      <c r="AE232" s="30">
        <f t="shared" si="86"/>
        <v>0</v>
      </c>
      <c r="AF232" s="30">
        <f t="shared" si="87"/>
        <v>0</v>
      </c>
    </row>
    <row r="233" spans="1:12" ht="12.75">
      <c r="A233" s="9"/>
      <c r="B233" s="9"/>
      <c r="C233" s="20"/>
      <c r="D233" s="25" t="s">
        <v>574</v>
      </c>
      <c r="E233" s="28"/>
      <c r="F233" s="28"/>
      <c r="G233" s="28"/>
      <c r="H233" s="52">
        <f>H234+H236+H241+H245+H249+H253+H256+H259+H266+H272</f>
        <v>0</v>
      </c>
      <c r="I233" s="52">
        <f>I234+I236+I241+I245+I249+I253+I256+I259+I266+I272</f>
        <v>0</v>
      </c>
      <c r="J233" s="52">
        <f>H233+I233</f>
        <v>0</v>
      </c>
      <c r="K233" s="44"/>
      <c r="L233" s="52">
        <f>L234+L236+L241+L245+L249+L253+L256+L259+L266+L272</f>
        <v>125.8048398</v>
      </c>
    </row>
    <row r="234" spans="1:37" ht="12.75">
      <c r="A234" s="9"/>
      <c r="B234" s="9"/>
      <c r="C234" s="20" t="s">
        <v>266</v>
      </c>
      <c r="D234" s="25" t="s">
        <v>424</v>
      </c>
      <c r="E234" s="28"/>
      <c r="F234" s="28"/>
      <c r="G234" s="28"/>
      <c r="H234" s="52">
        <f>SUM(H235:H235)</f>
        <v>0</v>
      </c>
      <c r="I234" s="52">
        <f>SUM(I235:I235)</f>
        <v>0</v>
      </c>
      <c r="J234" s="52">
        <f>H234+I234</f>
        <v>0</v>
      </c>
      <c r="K234" s="44"/>
      <c r="L234" s="52">
        <f>SUM(L235:L235)</f>
        <v>0</v>
      </c>
      <c r="P234" s="52">
        <f>IF(Q234="PR",J234,SUM(O235:O235))</f>
        <v>0</v>
      </c>
      <c r="Q234" s="44" t="s">
        <v>641</v>
      </c>
      <c r="R234" s="52">
        <f>IF(Q234="HS",H234,0)</f>
        <v>0</v>
      </c>
      <c r="S234" s="52">
        <f>IF(Q234="HS",I234-P234,0)</f>
        <v>0</v>
      </c>
      <c r="T234" s="52">
        <f>IF(Q234="PS",H234,0)</f>
        <v>0</v>
      </c>
      <c r="U234" s="52">
        <f>IF(Q234="PS",I234-P234,0)</f>
        <v>0</v>
      </c>
      <c r="V234" s="52">
        <f>IF(Q234="MP",H234,0)</f>
        <v>0</v>
      </c>
      <c r="W234" s="52">
        <f>IF(Q234="MP",I234-P234,0)</f>
        <v>0</v>
      </c>
      <c r="X234" s="52">
        <f>IF(Q234="OM",H234,0)</f>
        <v>0</v>
      </c>
      <c r="Y234" s="44" t="s">
        <v>262</v>
      </c>
      <c r="AI234" s="52">
        <f>SUM(Z235:Z235)</f>
        <v>0</v>
      </c>
      <c r="AJ234" s="52">
        <f>SUM(AA235:AA235)</f>
        <v>0</v>
      </c>
      <c r="AK234" s="52">
        <f>SUM(AB235:AB235)</f>
        <v>0</v>
      </c>
    </row>
    <row r="235" spans="1:32" ht="12.75">
      <c r="A235" s="10" t="s">
        <v>183</v>
      </c>
      <c r="B235" s="10" t="s">
        <v>262</v>
      </c>
      <c r="C235" s="10" t="s">
        <v>267</v>
      </c>
      <c r="D235" s="10" t="s">
        <v>425</v>
      </c>
      <c r="E235" s="10" t="s">
        <v>611</v>
      </c>
      <c r="F235" s="30">
        <v>1</v>
      </c>
      <c r="H235" s="30">
        <f>ROUND(F235*AE235,2)</f>
        <v>0</v>
      </c>
      <c r="I235" s="30">
        <f>J235-H235</f>
        <v>0</v>
      </c>
      <c r="J235" s="30">
        <f>ROUND(F235*G235,2)</f>
        <v>0</v>
      </c>
      <c r="K235" s="30">
        <v>0</v>
      </c>
      <c r="L235" s="30">
        <f>F235*K235</f>
        <v>0</v>
      </c>
      <c r="N235" s="50" t="s">
        <v>7</v>
      </c>
      <c r="O235" s="30">
        <f>IF(N235="5",I235,0)</f>
        <v>0</v>
      </c>
      <c r="Z235" s="30">
        <f>IF(AD235=0,J235,0)</f>
        <v>0</v>
      </c>
      <c r="AA235" s="30">
        <f>IF(AD235=15,J235,0)</f>
        <v>0</v>
      </c>
      <c r="AB235" s="30">
        <f>IF(AD235=21,J235,0)</f>
        <v>0</v>
      </c>
      <c r="AD235" s="30">
        <v>21</v>
      </c>
      <c r="AE235" s="30">
        <f>G235*0</f>
        <v>0</v>
      </c>
      <c r="AF235" s="30">
        <f>G235*(1-0)</f>
        <v>0</v>
      </c>
    </row>
    <row r="236" spans="1:37" ht="12.75">
      <c r="A236" s="9"/>
      <c r="B236" s="9"/>
      <c r="C236" s="20" t="s">
        <v>17</v>
      </c>
      <c r="D236" s="25" t="s">
        <v>426</v>
      </c>
      <c r="E236" s="28"/>
      <c r="F236" s="28"/>
      <c r="G236" s="28"/>
      <c r="H236" s="52">
        <f>SUM(H237:H240)</f>
        <v>0</v>
      </c>
      <c r="I236" s="52">
        <f>SUM(I237:I240)</f>
        <v>0</v>
      </c>
      <c r="J236" s="52">
        <f>H236+I236</f>
        <v>0</v>
      </c>
      <c r="K236" s="44"/>
      <c r="L236" s="52">
        <f>SUM(L237:L240)</f>
        <v>9.540000000000001</v>
      </c>
      <c r="P236" s="52">
        <f>IF(Q236="PR",J236,SUM(O237:O240))</f>
        <v>0</v>
      </c>
      <c r="Q236" s="44" t="s">
        <v>641</v>
      </c>
      <c r="R236" s="52">
        <f>IF(Q236="HS",H236,0)</f>
        <v>0</v>
      </c>
      <c r="S236" s="52">
        <f>IF(Q236="HS",I236-P236,0)</f>
        <v>0</v>
      </c>
      <c r="T236" s="52">
        <f>IF(Q236="PS",H236,0)</f>
        <v>0</v>
      </c>
      <c r="U236" s="52">
        <f>IF(Q236="PS",I236-P236,0)</f>
        <v>0</v>
      </c>
      <c r="V236" s="52">
        <f>IF(Q236="MP",H236,0)</f>
        <v>0</v>
      </c>
      <c r="W236" s="52">
        <f>IF(Q236="MP",I236-P236,0)</f>
        <v>0</v>
      </c>
      <c r="X236" s="52">
        <f>IF(Q236="OM",H236,0)</f>
        <v>0</v>
      </c>
      <c r="Y236" s="44" t="s">
        <v>262</v>
      </c>
      <c r="AI236" s="52">
        <f>SUM(Z237:Z240)</f>
        <v>0</v>
      </c>
      <c r="AJ236" s="52">
        <f>SUM(AA237:AA240)</f>
        <v>0</v>
      </c>
      <c r="AK236" s="52">
        <f>SUM(AB237:AB240)</f>
        <v>0</v>
      </c>
    </row>
    <row r="237" spans="1:32" ht="12.75">
      <c r="A237" s="10" t="s">
        <v>184</v>
      </c>
      <c r="B237" s="10" t="s">
        <v>262</v>
      </c>
      <c r="C237" s="10" t="s">
        <v>273</v>
      </c>
      <c r="D237" s="10" t="s">
        <v>432</v>
      </c>
      <c r="E237" s="10" t="s">
        <v>612</v>
      </c>
      <c r="F237" s="30">
        <v>12</v>
      </c>
      <c r="H237" s="30">
        <f>ROUND(F237*AE237,2)</f>
        <v>0</v>
      </c>
      <c r="I237" s="30">
        <f>J237-H237</f>
        <v>0</v>
      </c>
      <c r="J237" s="30">
        <f>ROUND(F237*G237,2)</f>
        <v>0</v>
      </c>
      <c r="K237" s="30">
        <v>0.235</v>
      </c>
      <c r="L237" s="30">
        <f>F237*K237</f>
        <v>2.82</v>
      </c>
      <c r="N237" s="50" t="s">
        <v>7</v>
      </c>
      <c r="O237" s="30">
        <f>IF(N237="5",I237,0)</f>
        <v>0</v>
      </c>
      <c r="Z237" s="30">
        <f>IF(AD237=0,J237,0)</f>
        <v>0</v>
      </c>
      <c r="AA237" s="30">
        <f>IF(AD237=15,J237,0)</f>
        <v>0</v>
      </c>
      <c r="AB237" s="30">
        <f>IF(AD237=21,J237,0)</f>
        <v>0</v>
      </c>
      <c r="AD237" s="30">
        <v>21</v>
      </c>
      <c r="AE237" s="30">
        <f>G237*0</f>
        <v>0</v>
      </c>
      <c r="AF237" s="30">
        <f>G237*(1-0)</f>
        <v>0</v>
      </c>
    </row>
    <row r="238" spans="1:32" ht="12.75">
      <c r="A238" s="10" t="s">
        <v>185</v>
      </c>
      <c r="B238" s="10" t="s">
        <v>262</v>
      </c>
      <c r="C238" s="10" t="s">
        <v>274</v>
      </c>
      <c r="D238" s="10" t="s">
        <v>433</v>
      </c>
      <c r="E238" s="10" t="s">
        <v>612</v>
      </c>
      <c r="F238" s="30">
        <v>12</v>
      </c>
      <c r="H238" s="30">
        <f>ROUND(F238*AE238,2)</f>
        <v>0</v>
      </c>
      <c r="I238" s="30">
        <f>J238-H238</f>
        <v>0</v>
      </c>
      <c r="J238" s="30">
        <f>ROUND(F238*G238,2)</f>
        <v>0</v>
      </c>
      <c r="K238" s="30">
        <v>0.56</v>
      </c>
      <c r="L238" s="30">
        <f>F238*K238</f>
        <v>6.720000000000001</v>
      </c>
      <c r="N238" s="50" t="s">
        <v>7</v>
      </c>
      <c r="O238" s="30">
        <f>IF(N238="5",I238,0)</f>
        <v>0</v>
      </c>
      <c r="Z238" s="30">
        <f>IF(AD238=0,J238,0)</f>
        <v>0</v>
      </c>
      <c r="AA238" s="30">
        <f>IF(AD238=15,J238,0)</f>
        <v>0</v>
      </c>
      <c r="AB238" s="30">
        <f>IF(AD238=21,J238,0)</f>
        <v>0</v>
      </c>
      <c r="AD238" s="30">
        <v>21</v>
      </c>
      <c r="AE238" s="30">
        <f>G238*0</f>
        <v>0</v>
      </c>
      <c r="AF238" s="30">
        <f>G238*(1-0)</f>
        <v>0</v>
      </c>
    </row>
    <row r="239" spans="1:32" ht="12.75">
      <c r="A239" s="10" t="s">
        <v>186</v>
      </c>
      <c r="B239" s="10" t="s">
        <v>262</v>
      </c>
      <c r="C239" s="10" t="s">
        <v>275</v>
      </c>
      <c r="D239" s="10" t="s">
        <v>434</v>
      </c>
      <c r="E239" s="10" t="s">
        <v>614</v>
      </c>
      <c r="F239" s="30">
        <v>9.54</v>
      </c>
      <c r="H239" s="30">
        <f>ROUND(F239*AE239,2)</f>
        <v>0</v>
      </c>
      <c r="I239" s="30">
        <f>J239-H239</f>
        <v>0</v>
      </c>
      <c r="J239" s="30">
        <f>ROUND(F239*G239,2)</f>
        <v>0</v>
      </c>
      <c r="K239" s="30">
        <v>0</v>
      </c>
      <c r="L239" s="30">
        <f>F239*K239</f>
        <v>0</v>
      </c>
      <c r="N239" s="50" t="s">
        <v>11</v>
      </c>
      <c r="O239" s="30">
        <f>IF(N239="5",I239,0)</f>
        <v>0</v>
      </c>
      <c r="Z239" s="30">
        <f>IF(AD239=0,J239,0)</f>
        <v>0</v>
      </c>
      <c r="AA239" s="30">
        <f>IF(AD239=15,J239,0)</f>
        <v>0</v>
      </c>
      <c r="AB239" s="30">
        <f>IF(AD239=21,J239,0)</f>
        <v>0</v>
      </c>
      <c r="AD239" s="30">
        <v>21</v>
      </c>
      <c r="AE239" s="30">
        <f>G239*0</f>
        <v>0</v>
      </c>
      <c r="AF239" s="30">
        <f>G239*(1-0)</f>
        <v>0</v>
      </c>
    </row>
    <row r="240" spans="1:32" ht="12.75">
      <c r="A240" s="10" t="s">
        <v>187</v>
      </c>
      <c r="B240" s="10" t="s">
        <v>262</v>
      </c>
      <c r="C240" s="10" t="s">
        <v>276</v>
      </c>
      <c r="D240" s="10" t="s">
        <v>435</v>
      </c>
      <c r="E240" s="10" t="s">
        <v>614</v>
      </c>
      <c r="F240" s="30">
        <v>76.32</v>
      </c>
      <c r="H240" s="30">
        <f>ROUND(F240*AE240,2)</f>
        <v>0</v>
      </c>
      <c r="I240" s="30">
        <f>J240-H240</f>
        <v>0</v>
      </c>
      <c r="J240" s="30">
        <f>ROUND(F240*G240,2)</f>
        <v>0</v>
      </c>
      <c r="K240" s="30">
        <v>0</v>
      </c>
      <c r="L240" s="30">
        <f>F240*K240</f>
        <v>0</v>
      </c>
      <c r="N240" s="50" t="s">
        <v>11</v>
      </c>
      <c r="O240" s="30">
        <f>IF(N240="5",I240,0)</f>
        <v>0</v>
      </c>
      <c r="Z240" s="30">
        <f>IF(AD240=0,J240,0)</f>
        <v>0</v>
      </c>
      <c r="AA240" s="30">
        <f>IF(AD240=15,J240,0)</f>
        <v>0</v>
      </c>
      <c r="AB240" s="30">
        <f>IF(AD240=21,J240,0)</f>
        <v>0</v>
      </c>
      <c r="AD240" s="30">
        <v>21</v>
      </c>
      <c r="AE240" s="30">
        <f>G240*0</f>
        <v>0</v>
      </c>
      <c r="AF240" s="30">
        <f>G240*(1-0)</f>
        <v>0</v>
      </c>
    </row>
    <row r="241" spans="1:37" ht="12.75">
      <c r="A241" s="9"/>
      <c r="B241" s="9"/>
      <c r="C241" s="20" t="s">
        <v>19</v>
      </c>
      <c r="D241" s="25" t="s">
        <v>529</v>
      </c>
      <c r="E241" s="28"/>
      <c r="F241" s="28"/>
      <c r="G241" s="28"/>
      <c r="H241" s="52">
        <f>SUM(H242:H244)</f>
        <v>0</v>
      </c>
      <c r="I241" s="52">
        <f>SUM(I242:I244)</f>
        <v>0</v>
      </c>
      <c r="J241" s="52">
        <f>H241+I241</f>
        <v>0</v>
      </c>
      <c r="K241" s="44"/>
      <c r="L241" s="52">
        <f>SUM(L242:L244)</f>
        <v>81.407856</v>
      </c>
      <c r="P241" s="52">
        <f>IF(Q241="PR",J241,SUM(O242:O244))</f>
        <v>0</v>
      </c>
      <c r="Q241" s="44" t="s">
        <v>641</v>
      </c>
      <c r="R241" s="52">
        <f>IF(Q241="HS",H241,0)</f>
        <v>0</v>
      </c>
      <c r="S241" s="52">
        <f>IF(Q241="HS",I241-P241,0)</f>
        <v>0</v>
      </c>
      <c r="T241" s="52">
        <f>IF(Q241="PS",H241,0)</f>
        <v>0</v>
      </c>
      <c r="U241" s="52">
        <f>IF(Q241="PS",I241-P241,0)</f>
        <v>0</v>
      </c>
      <c r="V241" s="52">
        <f>IF(Q241="MP",H241,0)</f>
        <v>0</v>
      </c>
      <c r="W241" s="52">
        <f>IF(Q241="MP",I241-P241,0)</f>
        <v>0</v>
      </c>
      <c r="X241" s="52">
        <f>IF(Q241="OM",H241,0)</f>
        <v>0</v>
      </c>
      <c r="Y241" s="44" t="s">
        <v>262</v>
      </c>
      <c r="AI241" s="52">
        <f>SUM(Z242:Z244)</f>
        <v>0</v>
      </c>
      <c r="AJ241" s="52">
        <f>SUM(AA242:AA244)</f>
        <v>0</v>
      </c>
      <c r="AK241" s="52">
        <f>SUM(AB242:AB244)</f>
        <v>0</v>
      </c>
    </row>
    <row r="242" spans="1:32" ht="12.75">
      <c r="A242" s="10" t="s">
        <v>188</v>
      </c>
      <c r="B242" s="10" t="s">
        <v>262</v>
      </c>
      <c r="C242" s="10" t="s">
        <v>353</v>
      </c>
      <c r="D242" s="10" t="s">
        <v>530</v>
      </c>
      <c r="E242" s="10" t="s">
        <v>615</v>
      </c>
      <c r="F242" s="30">
        <v>10.655</v>
      </c>
      <c r="H242" s="30">
        <f>ROUND(F242*AE242,2)</f>
        <v>0</v>
      </c>
      <c r="I242" s="30">
        <f>J242-H242</f>
        <v>0</v>
      </c>
      <c r="J242" s="30">
        <f>ROUND(F242*G242,2)</f>
        <v>0</v>
      </c>
      <c r="K242" s="30">
        <v>0</v>
      </c>
      <c r="L242" s="30">
        <f>F242*K242</f>
        <v>0</v>
      </c>
      <c r="N242" s="50" t="s">
        <v>7</v>
      </c>
      <c r="O242" s="30">
        <f>IF(N242="5",I242,0)</f>
        <v>0</v>
      </c>
      <c r="Z242" s="30">
        <f>IF(AD242=0,J242,0)</f>
        <v>0</v>
      </c>
      <c r="AA242" s="30">
        <f>IF(AD242=15,J242,0)</f>
        <v>0</v>
      </c>
      <c r="AB242" s="30">
        <f>IF(AD242=21,J242,0)</f>
        <v>0</v>
      </c>
      <c r="AD242" s="30">
        <v>21</v>
      </c>
      <c r="AE242" s="30">
        <f>G242*0</f>
        <v>0</v>
      </c>
      <c r="AF242" s="30">
        <f>G242*(1-0)</f>
        <v>0</v>
      </c>
    </row>
    <row r="243" spans="1:32" ht="12.75">
      <c r="A243" s="10" t="s">
        <v>189</v>
      </c>
      <c r="B243" s="10" t="s">
        <v>262</v>
      </c>
      <c r="C243" s="10" t="s">
        <v>391</v>
      </c>
      <c r="D243" s="10" t="s">
        <v>575</v>
      </c>
      <c r="E243" s="10" t="s">
        <v>615</v>
      </c>
      <c r="F243" s="30">
        <v>43.75</v>
      </c>
      <c r="H243" s="30">
        <f>ROUND(F243*AE243,2)</f>
        <v>0</v>
      </c>
      <c r="I243" s="30">
        <f>J243-H243</f>
        <v>0</v>
      </c>
      <c r="J243" s="30">
        <f>ROUND(F243*G243,2)</f>
        <v>0</v>
      </c>
      <c r="K243" s="30">
        <v>1.86</v>
      </c>
      <c r="L243" s="30">
        <f>F243*K243</f>
        <v>81.375</v>
      </c>
      <c r="N243" s="50" t="s">
        <v>9</v>
      </c>
      <c r="O243" s="30">
        <f>IF(N243="5",I243,0)</f>
        <v>0</v>
      </c>
      <c r="Z243" s="30">
        <f>IF(AD243=0,J243,0)</f>
        <v>0</v>
      </c>
      <c r="AA243" s="30">
        <f>IF(AD243=15,J243,0)</f>
        <v>0</v>
      </c>
      <c r="AB243" s="30">
        <f>IF(AD243=21,J243,0)</f>
        <v>0</v>
      </c>
      <c r="AD243" s="30">
        <v>21</v>
      </c>
      <c r="AE243" s="30">
        <f>G243*0.0254054647949223</f>
        <v>0</v>
      </c>
      <c r="AF243" s="30">
        <f>G243*(1-0.0254054647949223)</f>
        <v>0</v>
      </c>
    </row>
    <row r="244" spans="1:32" ht="12.75">
      <c r="A244" s="10" t="s">
        <v>190</v>
      </c>
      <c r="B244" s="10" t="s">
        <v>262</v>
      </c>
      <c r="C244" s="10" t="s">
        <v>392</v>
      </c>
      <c r="D244" s="10" t="s">
        <v>576</v>
      </c>
      <c r="E244" s="10" t="s">
        <v>615</v>
      </c>
      <c r="F244" s="30">
        <v>44.4</v>
      </c>
      <c r="H244" s="30">
        <f>ROUND(F244*AE244,2)</f>
        <v>0</v>
      </c>
      <c r="I244" s="30">
        <f>J244-H244</f>
        <v>0</v>
      </c>
      <c r="J244" s="30">
        <f>ROUND(F244*G244,2)</f>
        <v>0</v>
      </c>
      <c r="K244" s="30">
        <v>0.00074</v>
      </c>
      <c r="L244" s="30">
        <f>F244*K244</f>
        <v>0.032855999999999996</v>
      </c>
      <c r="N244" s="50" t="s">
        <v>9</v>
      </c>
      <c r="O244" s="30">
        <f>IF(N244="5",I244,0)</f>
        <v>0</v>
      </c>
      <c r="Z244" s="30">
        <f>IF(AD244=0,J244,0)</f>
        <v>0</v>
      </c>
      <c r="AA244" s="30">
        <f>IF(AD244=15,J244,0)</f>
        <v>0</v>
      </c>
      <c r="AB244" s="30">
        <f>IF(AD244=21,J244,0)</f>
        <v>0</v>
      </c>
      <c r="AD244" s="30">
        <v>21</v>
      </c>
      <c r="AE244" s="30">
        <f>G244*0.00522462745963325</f>
        <v>0</v>
      </c>
      <c r="AF244" s="30">
        <f>G244*(1-0.00522462745963325)</f>
        <v>0</v>
      </c>
    </row>
    <row r="245" spans="1:37" ht="12.75">
      <c r="A245" s="9"/>
      <c r="B245" s="9"/>
      <c r="C245" s="20" t="s">
        <v>22</v>
      </c>
      <c r="D245" s="25" t="s">
        <v>537</v>
      </c>
      <c r="E245" s="28"/>
      <c r="F245" s="28"/>
      <c r="G245" s="28"/>
      <c r="H245" s="52">
        <f>SUM(H246:H248)</f>
        <v>0</v>
      </c>
      <c r="I245" s="52">
        <f>SUM(I246:I248)</f>
        <v>0</v>
      </c>
      <c r="J245" s="52">
        <f>H245+I245</f>
        <v>0</v>
      </c>
      <c r="K245" s="44"/>
      <c r="L245" s="52">
        <f>SUM(L246:L248)</f>
        <v>0</v>
      </c>
      <c r="P245" s="52">
        <f>IF(Q245="PR",J245,SUM(O246:O248))</f>
        <v>0</v>
      </c>
      <c r="Q245" s="44" t="s">
        <v>641</v>
      </c>
      <c r="R245" s="52">
        <f>IF(Q245="HS",H245,0)</f>
        <v>0</v>
      </c>
      <c r="S245" s="52">
        <f>IF(Q245="HS",I245-P245,0)</f>
        <v>0</v>
      </c>
      <c r="T245" s="52">
        <f>IF(Q245="PS",H245,0)</f>
        <v>0</v>
      </c>
      <c r="U245" s="52">
        <f>IF(Q245="PS",I245-P245,0)</f>
        <v>0</v>
      </c>
      <c r="V245" s="52">
        <f>IF(Q245="MP",H245,0)</f>
        <v>0</v>
      </c>
      <c r="W245" s="52">
        <f>IF(Q245="MP",I245-P245,0)</f>
        <v>0</v>
      </c>
      <c r="X245" s="52">
        <f>IF(Q245="OM",H245,0)</f>
        <v>0</v>
      </c>
      <c r="Y245" s="44" t="s">
        <v>262</v>
      </c>
      <c r="AI245" s="52">
        <f>SUM(Z246:Z248)</f>
        <v>0</v>
      </c>
      <c r="AJ245" s="52">
        <f>SUM(AA246:AA248)</f>
        <v>0</v>
      </c>
      <c r="AK245" s="52">
        <f>SUM(AB246:AB248)</f>
        <v>0</v>
      </c>
    </row>
    <row r="246" spans="1:32" ht="12.75">
      <c r="A246" s="10" t="s">
        <v>191</v>
      </c>
      <c r="B246" s="10" t="s">
        <v>262</v>
      </c>
      <c r="C246" s="10" t="s">
        <v>358</v>
      </c>
      <c r="D246" s="10" t="s">
        <v>538</v>
      </c>
      <c r="E246" s="10" t="s">
        <v>615</v>
      </c>
      <c r="F246" s="30">
        <v>88.15</v>
      </c>
      <c r="H246" s="30">
        <f>ROUND(F246*AE246,2)</f>
        <v>0</v>
      </c>
      <c r="I246" s="30">
        <f>J246-H246</f>
        <v>0</v>
      </c>
      <c r="J246" s="30">
        <f>ROUND(F246*G246,2)</f>
        <v>0</v>
      </c>
      <c r="K246" s="30">
        <v>0</v>
      </c>
      <c r="L246" s="30">
        <f>F246*K246</f>
        <v>0</v>
      </c>
      <c r="N246" s="50" t="s">
        <v>7</v>
      </c>
      <c r="O246" s="30">
        <f>IF(N246="5",I246,0)</f>
        <v>0</v>
      </c>
      <c r="Z246" s="30">
        <f>IF(AD246=0,J246,0)</f>
        <v>0</v>
      </c>
      <c r="AA246" s="30">
        <f>IF(AD246=15,J246,0)</f>
        <v>0</v>
      </c>
      <c r="AB246" s="30">
        <f>IF(AD246=21,J246,0)</f>
        <v>0</v>
      </c>
      <c r="AD246" s="30">
        <v>21</v>
      </c>
      <c r="AE246" s="30">
        <f>G246*0</f>
        <v>0</v>
      </c>
      <c r="AF246" s="30">
        <f>G246*(1-0)</f>
        <v>0</v>
      </c>
    </row>
    <row r="247" spans="1:32" ht="12.75">
      <c r="A247" s="10" t="s">
        <v>192</v>
      </c>
      <c r="B247" s="10" t="s">
        <v>262</v>
      </c>
      <c r="C247" s="10" t="s">
        <v>373</v>
      </c>
      <c r="D247" s="10" t="s">
        <v>556</v>
      </c>
      <c r="E247" s="10" t="s">
        <v>615</v>
      </c>
      <c r="F247" s="30">
        <v>30.8</v>
      </c>
      <c r="H247" s="30">
        <f>ROUND(F247*AE247,2)</f>
        <v>0</v>
      </c>
      <c r="I247" s="30">
        <f>J247-H247</f>
        <v>0</v>
      </c>
      <c r="J247" s="30">
        <f>ROUND(F247*G247,2)</f>
        <v>0</v>
      </c>
      <c r="K247" s="30">
        <v>0</v>
      </c>
      <c r="L247" s="30">
        <f>F247*K247</f>
        <v>0</v>
      </c>
      <c r="N247" s="50" t="s">
        <v>7</v>
      </c>
      <c r="O247" s="30">
        <f>IF(N247="5",I247,0)</f>
        <v>0</v>
      </c>
      <c r="Z247" s="30">
        <f>IF(AD247=0,J247,0)</f>
        <v>0</v>
      </c>
      <c r="AA247" s="30">
        <f>IF(AD247=15,J247,0)</f>
        <v>0</v>
      </c>
      <c r="AB247" s="30">
        <f>IF(AD247=21,J247,0)</f>
        <v>0</v>
      </c>
      <c r="AD247" s="30">
        <v>21</v>
      </c>
      <c r="AE247" s="30">
        <f>G247*0</f>
        <v>0</v>
      </c>
      <c r="AF247" s="30">
        <f>G247*(1-0)</f>
        <v>0</v>
      </c>
    </row>
    <row r="248" spans="1:32" ht="12.75">
      <c r="A248" s="10" t="s">
        <v>193</v>
      </c>
      <c r="B248" s="10" t="s">
        <v>262</v>
      </c>
      <c r="C248" s="10" t="s">
        <v>359</v>
      </c>
      <c r="D248" s="10" t="s">
        <v>539</v>
      </c>
      <c r="E248" s="10" t="s">
        <v>615</v>
      </c>
      <c r="F248" s="30">
        <v>16.9</v>
      </c>
      <c r="H248" s="30">
        <f>ROUND(F248*AE248,2)</f>
        <v>0</v>
      </c>
      <c r="I248" s="30">
        <f>J248-H248</f>
        <v>0</v>
      </c>
      <c r="J248" s="30">
        <f>ROUND(F248*G248,2)</f>
        <v>0</v>
      </c>
      <c r="K248" s="30">
        <v>0</v>
      </c>
      <c r="L248" s="30">
        <f>F248*K248</f>
        <v>0</v>
      </c>
      <c r="N248" s="50" t="s">
        <v>7</v>
      </c>
      <c r="O248" s="30">
        <f>IF(N248="5",I248,0)</f>
        <v>0</v>
      </c>
      <c r="Z248" s="30">
        <f>IF(AD248=0,J248,0)</f>
        <v>0</v>
      </c>
      <c r="AA248" s="30">
        <f>IF(AD248=15,J248,0)</f>
        <v>0</v>
      </c>
      <c r="AB248" s="30">
        <f>IF(AD248=21,J248,0)</f>
        <v>0</v>
      </c>
      <c r="AD248" s="30">
        <v>21</v>
      </c>
      <c r="AE248" s="30">
        <f>G248*0</f>
        <v>0</v>
      </c>
      <c r="AF248" s="30">
        <f>G248*(1-0)</f>
        <v>0</v>
      </c>
    </row>
    <row r="249" spans="1:37" ht="12.75">
      <c r="A249" s="9"/>
      <c r="B249" s="9"/>
      <c r="C249" s="20" t="s">
        <v>23</v>
      </c>
      <c r="D249" s="25" t="s">
        <v>540</v>
      </c>
      <c r="E249" s="28"/>
      <c r="F249" s="28"/>
      <c r="G249" s="28"/>
      <c r="H249" s="52">
        <f>SUM(H250:H252)</f>
        <v>0</v>
      </c>
      <c r="I249" s="52">
        <f>SUM(I250:I252)</f>
        <v>0</v>
      </c>
      <c r="J249" s="52">
        <f>H249+I249</f>
        <v>0</v>
      </c>
      <c r="K249" s="44"/>
      <c r="L249" s="52">
        <f>SUM(L250:L252)</f>
        <v>0</v>
      </c>
      <c r="P249" s="52">
        <f>IF(Q249="PR",J249,SUM(O250:O252))</f>
        <v>0</v>
      </c>
      <c r="Q249" s="44" t="s">
        <v>641</v>
      </c>
      <c r="R249" s="52">
        <f>IF(Q249="HS",H249,0)</f>
        <v>0</v>
      </c>
      <c r="S249" s="52">
        <f>IF(Q249="HS",I249-P249,0)</f>
        <v>0</v>
      </c>
      <c r="T249" s="52">
        <f>IF(Q249="PS",H249,0)</f>
        <v>0</v>
      </c>
      <c r="U249" s="52">
        <f>IF(Q249="PS",I249-P249,0)</f>
        <v>0</v>
      </c>
      <c r="V249" s="52">
        <f>IF(Q249="MP",H249,0)</f>
        <v>0</v>
      </c>
      <c r="W249" s="52">
        <f>IF(Q249="MP",I249-P249,0)</f>
        <v>0</v>
      </c>
      <c r="X249" s="52">
        <f>IF(Q249="OM",H249,0)</f>
        <v>0</v>
      </c>
      <c r="Y249" s="44" t="s">
        <v>262</v>
      </c>
      <c r="AI249" s="52">
        <f>SUM(Z250:Z252)</f>
        <v>0</v>
      </c>
      <c r="AJ249" s="52">
        <f>SUM(AA250:AA252)</f>
        <v>0</v>
      </c>
      <c r="AK249" s="52">
        <f>SUM(AB250:AB252)</f>
        <v>0</v>
      </c>
    </row>
    <row r="250" spans="1:32" ht="12.75">
      <c r="A250" s="10" t="s">
        <v>194</v>
      </c>
      <c r="B250" s="10" t="s">
        <v>262</v>
      </c>
      <c r="C250" s="10" t="s">
        <v>280</v>
      </c>
      <c r="D250" s="10" t="s">
        <v>440</v>
      </c>
      <c r="E250" s="10" t="s">
        <v>615</v>
      </c>
      <c r="F250" s="30">
        <v>16.9</v>
      </c>
      <c r="H250" s="30">
        <f>ROUND(F250*AE250,2)</f>
        <v>0</v>
      </c>
      <c r="I250" s="30">
        <f>J250-H250</f>
        <v>0</v>
      </c>
      <c r="J250" s="30">
        <f>ROUND(F250*G250,2)</f>
        <v>0</v>
      </c>
      <c r="K250" s="30">
        <v>0</v>
      </c>
      <c r="L250" s="30">
        <f>F250*K250</f>
        <v>0</v>
      </c>
      <c r="N250" s="50" t="s">
        <v>7</v>
      </c>
      <c r="O250" s="30">
        <f>IF(N250="5",I250,0)</f>
        <v>0</v>
      </c>
      <c r="Z250" s="30">
        <f>IF(AD250=0,J250,0)</f>
        <v>0</v>
      </c>
      <c r="AA250" s="30">
        <f>IF(AD250=15,J250,0)</f>
        <v>0</v>
      </c>
      <c r="AB250" s="30">
        <f>IF(AD250=21,J250,0)</f>
        <v>0</v>
      </c>
      <c r="AD250" s="30">
        <v>21</v>
      </c>
      <c r="AE250" s="30">
        <f>G250*0</f>
        <v>0</v>
      </c>
      <c r="AF250" s="30">
        <f>G250*(1-0)</f>
        <v>0</v>
      </c>
    </row>
    <row r="251" spans="1:32" ht="12.75">
      <c r="A251" s="10" t="s">
        <v>195</v>
      </c>
      <c r="B251" s="10" t="s">
        <v>262</v>
      </c>
      <c r="C251" s="10" t="s">
        <v>360</v>
      </c>
      <c r="D251" s="10" t="s">
        <v>541</v>
      </c>
      <c r="E251" s="10" t="s">
        <v>615</v>
      </c>
      <c r="F251" s="30">
        <v>30.8</v>
      </c>
      <c r="H251" s="30">
        <f>ROUND(F251*AE251,2)</f>
        <v>0</v>
      </c>
      <c r="I251" s="30">
        <f>J251-H251</f>
        <v>0</v>
      </c>
      <c r="J251" s="30">
        <f>ROUND(F251*G251,2)</f>
        <v>0</v>
      </c>
      <c r="K251" s="30">
        <v>0</v>
      </c>
      <c r="L251" s="30">
        <f>F251*K251</f>
        <v>0</v>
      </c>
      <c r="N251" s="50" t="s">
        <v>7</v>
      </c>
      <c r="O251" s="30">
        <f>IF(N251="5",I251,0)</f>
        <v>0</v>
      </c>
      <c r="Z251" s="30">
        <f>IF(AD251=0,J251,0)</f>
        <v>0</v>
      </c>
      <c r="AA251" s="30">
        <f>IF(AD251=15,J251,0)</f>
        <v>0</v>
      </c>
      <c r="AB251" s="30">
        <f>IF(AD251=21,J251,0)</f>
        <v>0</v>
      </c>
      <c r="AD251" s="30">
        <v>21</v>
      </c>
      <c r="AE251" s="30">
        <f>G251*0</f>
        <v>0</v>
      </c>
      <c r="AF251" s="30">
        <f>G251*(1-0)</f>
        <v>0</v>
      </c>
    </row>
    <row r="252" spans="1:32" ht="12.75">
      <c r="A252" s="10" t="s">
        <v>196</v>
      </c>
      <c r="B252" s="10" t="s">
        <v>262</v>
      </c>
      <c r="C252" s="10" t="s">
        <v>361</v>
      </c>
      <c r="D252" s="10" t="s">
        <v>542</v>
      </c>
      <c r="E252" s="10" t="s">
        <v>615</v>
      </c>
      <c r="F252" s="30">
        <v>30.8</v>
      </c>
      <c r="H252" s="30">
        <f>ROUND(F252*AE252,2)</f>
        <v>0</v>
      </c>
      <c r="I252" s="30">
        <f>J252-H252</f>
        <v>0</v>
      </c>
      <c r="J252" s="30">
        <f>ROUND(F252*G252,2)</f>
        <v>0</v>
      </c>
      <c r="K252" s="30">
        <v>0</v>
      </c>
      <c r="L252" s="30">
        <f>F252*K252</f>
        <v>0</v>
      </c>
      <c r="N252" s="50" t="s">
        <v>7</v>
      </c>
      <c r="O252" s="30">
        <f>IF(N252="5",I252,0)</f>
        <v>0</v>
      </c>
      <c r="Z252" s="30">
        <f>IF(AD252=0,J252,0)</f>
        <v>0</v>
      </c>
      <c r="AA252" s="30">
        <f>IF(AD252=15,J252,0)</f>
        <v>0</v>
      </c>
      <c r="AB252" s="30">
        <f>IF(AD252=21,J252,0)</f>
        <v>0</v>
      </c>
      <c r="AD252" s="30">
        <v>21</v>
      </c>
      <c r="AE252" s="30">
        <f>G252*0</f>
        <v>0</v>
      </c>
      <c r="AF252" s="30">
        <f>G252*(1-0)</f>
        <v>0</v>
      </c>
    </row>
    <row r="253" spans="1:37" ht="12.75">
      <c r="A253" s="9"/>
      <c r="B253" s="9"/>
      <c r="C253" s="20" t="s">
        <v>51</v>
      </c>
      <c r="D253" s="25" t="s">
        <v>543</v>
      </c>
      <c r="E253" s="28"/>
      <c r="F253" s="28"/>
      <c r="G253" s="28"/>
      <c r="H253" s="52">
        <f>SUM(H254:H255)</f>
        <v>0</v>
      </c>
      <c r="I253" s="52">
        <f>SUM(I254:I255)</f>
        <v>0</v>
      </c>
      <c r="J253" s="52">
        <f>H253+I253</f>
        <v>0</v>
      </c>
      <c r="K253" s="44"/>
      <c r="L253" s="52">
        <f>SUM(L254:L255)</f>
        <v>7.789972400000001</v>
      </c>
      <c r="P253" s="52">
        <f>IF(Q253="PR",J253,SUM(O254:O255))</f>
        <v>0</v>
      </c>
      <c r="Q253" s="44" t="s">
        <v>641</v>
      </c>
      <c r="R253" s="52">
        <f>IF(Q253="HS",H253,0)</f>
        <v>0</v>
      </c>
      <c r="S253" s="52">
        <f>IF(Q253="HS",I253-P253,0)</f>
        <v>0</v>
      </c>
      <c r="T253" s="52">
        <f>IF(Q253="PS",H253,0)</f>
        <v>0</v>
      </c>
      <c r="U253" s="52">
        <f>IF(Q253="PS",I253-P253,0)</f>
        <v>0</v>
      </c>
      <c r="V253" s="52">
        <f>IF(Q253="MP",H253,0)</f>
        <v>0</v>
      </c>
      <c r="W253" s="52">
        <f>IF(Q253="MP",I253-P253,0)</f>
        <v>0</v>
      </c>
      <c r="X253" s="52">
        <f>IF(Q253="OM",H253,0)</f>
        <v>0</v>
      </c>
      <c r="Y253" s="44" t="s">
        <v>262</v>
      </c>
      <c r="AI253" s="52">
        <f>SUM(Z254:Z255)</f>
        <v>0</v>
      </c>
      <c r="AJ253" s="52">
        <f>SUM(AA254:AA255)</f>
        <v>0</v>
      </c>
      <c r="AK253" s="52">
        <f>SUM(AB254:AB255)</f>
        <v>0</v>
      </c>
    </row>
    <row r="254" spans="1:32" ht="12.75">
      <c r="A254" s="10" t="s">
        <v>197</v>
      </c>
      <c r="B254" s="10" t="s">
        <v>262</v>
      </c>
      <c r="C254" s="10" t="s">
        <v>362</v>
      </c>
      <c r="D254" s="10" t="s">
        <v>544</v>
      </c>
      <c r="E254" s="10" t="s">
        <v>615</v>
      </c>
      <c r="F254" s="30">
        <v>4.12</v>
      </c>
      <c r="H254" s="30">
        <f>ROUND(F254*AE254,2)</f>
        <v>0</v>
      </c>
      <c r="I254" s="30">
        <f>J254-H254</f>
        <v>0</v>
      </c>
      <c r="J254" s="30">
        <f>ROUND(F254*G254,2)</f>
        <v>0</v>
      </c>
      <c r="K254" s="30">
        <v>1.89077</v>
      </c>
      <c r="L254" s="30">
        <f>F254*K254</f>
        <v>7.789972400000001</v>
      </c>
      <c r="N254" s="50" t="s">
        <v>7</v>
      </c>
      <c r="O254" s="30">
        <f>IF(N254="5",I254,0)</f>
        <v>0</v>
      </c>
      <c r="Z254" s="30">
        <f>IF(AD254=0,J254,0)</f>
        <v>0</v>
      </c>
      <c r="AA254" s="30">
        <f>IF(AD254=15,J254,0)</f>
        <v>0</v>
      </c>
      <c r="AB254" s="30">
        <f>IF(AD254=21,J254,0)</f>
        <v>0</v>
      </c>
      <c r="AD254" s="30">
        <v>21</v>
      </c>
      <c r="AE254" s="30">
        <f>G254*0.648748447813868</f>
        <v>0</v>
      </c>
      <c r="AF254" s="30">
        <f>G254*(1-0.648748447813868)</f>
        <v>0</v>
      </c>
    </row>
    <row r="255" spans="1:32" ht="12.75">
      <c r="A255" s="10" t="s">
        <v>198</v>
      </c>
      <c r="B255" s="10" t="s">
        <v>262</v>
      </c>
      <c r="C255" s="10" t="s">
        <v>363</v>
      </c>
      <c r="D255" s="10" t="s">
        <v>545</v>
      </c>
      <c r="E255" s="10" t="s">
        <v>615</v>
      </c>
      <c r="F255" s="30">
        <v>5.52</v>
      </c>
      <c r="H255" s="30">
        <f>ROUND(F255*AE255,2)</f>
        <v>0</v>
      </c>
      <c r="I255" s="30">
        <f>J255-H255</f>
        <v>0</v>
      </c>
      <c r="J255" s="30">
        <f>ROUND(F255*G255,2)</f>
        <v>0</v>
      </c>
      <c r="K255" s="30">
        <v>0</v>
      </c>
      <c r="L255" s="30">
        <f>F255*K255</f>
        <v>0</v>
      </c>
      <c r="N255" s="50" t="s">
        <v>7</v>
      </c>
      <c r="O255" s="30">
        <f>IF(N255="5",I255,0)</f>
        <v>0</v>
      </c>
      <c r="Z255" s="30">
        <f>IF(AD255=0,J255,0)</f>
        <v>0</v>
      </c>
      <c r="AA255" s="30">
        <f>IF(AD255=15,J255,0)</f>
        <v>0</v>
      </c>
      <c r="AB255" s="30">
        <f>IF(AD255=21,J255,0)</f>
        <v>0</v>
      </c>
      <c r="AD255" s="30">
        <v>21</v>
      </c>
      <c r="AE255" s="30">
        <f>G255*0</f>
        <v>0</v>
      </c>
      <c r="AF255" s="30">
        <f>G255*(1-0)</f>
        <v>0</v>
      </c>
    </row>
    <row r="256" spans="1:37" ht="12.75">
      <c r="A256" s="9"/>
      <c r="B256" s="9"/>
      <c r="C256" s="20" t="s">
        <v>63</v>
      </c>
      <c r="D256" s="25" t="s">
        <v>461</v>
      </c>
      <c r="E256" s="28"/>
      <c r="F256" s="28"/>
      <c r="G256" s="28"/>
      <c r="H256" s="52">
        <f>SUM(H257:H258)</f>
        <v>0</v>
      </c>
      <c r="I256" s="52">
        <f>SUM(I257:I258)</f>
        <v>0</v>
      </c>
      <c r="J256" s="52">
        <f>H256+I256</f>
        <v>0</v>
      </c>
      <c r="K256" s="44"/>
      <c r="L256" s="52">
        <f>SUM(L257:L258)</f>
        <v>15.7422</v>
      </c>
      <c r="P256" s="52">
        <f>IF(Q256="PR",J256,SUM(O257:O258))</f>
        <v>0</v>
      </c>
      <c r="Q256" s="44" t="s">
        <v>641</v>
      </c>
      <c r="R256" s="52">
        <f>IF(Q256="HS",H256,0)</f>
        <v>0</v>
      </c>
      <c r="S256" s="52">
        <f>IF(Q256="HS",I256-P256,0)</f>
        <v>0</v>
      </c>
      <c r="T256" s="52">
        <f>IF(Q256="PS",H256,0)</f>
        <v>0</v>
      </c>
      <c r="U256" s="52">
        <f>IF(Q256="PS",I256-P256,0)</f>
        <v>0</v>
      </c>
      <c r="V256" s="52">
        <f>IF(Q256="MP",H256,0)</f>
        <v>0</v>
      </c>
      <c r="W256" s="52">
        <f>IF(Q256="MP",I256-P256,0)</f>
        <v>0</v>
      </c>
      <c r="X256" s="52">
        <f>IF(Q256="OM",H256,0)</f>
        <v>0</v>
      </c>
      <c r="Y256" s="44" t="s">
        <v>262</v>
      </c>
      <c r="AI256" s="52">
        <f>SUM(Z257:Z258)</f>
        <v>0</v>
      </c>
      <c r="AJ256" s="52">
        <f>SUM(AA257:AA258)</f>
        <v>0</v>
      </c>
      <c r="AK256" s="52">
        <f>SUM(AB257:AB258)</f>
        <v>0</v>
      </c>
    </row>
    <row r="257" spans="1:32" ht="12.75">
      <c r="A257" s="10" t="s">
        <v>199</v>
      </c>
      <c r="B257" s="10" t="s">
        <v>262</v>
      </c>
      <c r="C257" s="10" t="s">
        <v>349</v>
      </c>
      <c r="D257" s="10" t="s">
        <v>522</v>
      </c>
      <c r="E257" s="10" t="s">
        <v>612</v>
      </c>
      <c r="F257" s="30">
        <v>12</v>
      </c>
      <c r="H257" s="30">
        <f>ROUND(F257*AE257,2)</f>
        <v>0</v>
      </c>
      <c r="I257" s="30">
        <f>J257-H257</f>
        <v>0</v>
      </c>
      <c r="J257" s="30">
        <f>ROUND(F257*G257,2)</f>
        <v>0</v>
      </c>
      <c r="K257" s="30">
        <v>1.31185</v>
      </c>
      <c r="L257" s="30">
        <f>F257*K257</f>
        <v>15.7422</v>
      </c>
      <c r="N257" s="50" t="s">
        <v>9</v>
      </c>
      <c r="O257" s="30">
        <f>IF(N257="5",I257,0)</f>
        <v>0</v>
      </c>
      <c r="Z257" s="30">
        <f>IF(AD257=0,J257,0)</f>
        <v>0</v>
      </c>
      <c r="AA257" s="30">
        <f>IF(AD257=15,J257,0)</f>
        <v>0</v>
      </c>
      <c r="AB257" s="30">
        <f>IF(AD257=21,J257,0)</f>
        <v>0</v>
      </c>
      <c r="AD257" s="30">
        <v>21</v>
      </c>
      <c r="AE257" s="30">
        <f>G257*0.817982133988094</f>
        <v>0</v>
      </c>
      <c r="AF257" s="30">
        <f>G257*(1-0.817982133988094)</f>
        <v>0</v>
      </c>
    </row>
    <row r="258" spans="1:32" ht="12.75">
      <c r="A258" s="10" t="s">
        <v>200</v>
      </c>
      <c r="B258" s="10" t="s">
        <v>262</v>
      </c>
      <c r="C258" s="10" t="s">
        <v>323</v>
      </c>
      <c r="D258" s="10" t="s">
        <v>490</v>
      </c>
      <c r="E258" s="10" t="s">
        <v>614</v>
      </c>
      <c r="F258" s="30">
        <v>15.7422</v>
      </c>
      <c r="H258" s="30">
        <f>ROUND(F258*AE258,2)</f>
        <v>0</v>
      </c>
      <c r="I258" s="30">
        <f>J258-H258</f>
        <v>0</v>
      </c>
      <c r="J258" s="30">
        <f>ROUND(F258*G258,2)</f>
        <v>0</v>
      </c>
      <c r="K258" s="30">
        <v>0</v>
      </c>
      <c r="L258" s="30">
        <f>F258*K258</f>
        <v>0</v>
      </c>
      <c r="N258" s="50" t="s">
        <v>11</v>
      </c>
      <c r="O258" s="30">
        <f>IF(N258="5",I258,0)</f>
        <v>0</v>
      </c>
      <c r="Z258" s="30">
        <f>IF(AD258=0,J258,0)</f>
        <v>0</v>
      </c>
      <c r="AA258" s="30">
        <f>IF(AD258=15,J258,0)</f>
        <v>0</v>
      </c>
      <c r="AB258" s="30">
        <f>IF(AD258=21,J258,0)</f>
        <v>0</v>
      </c>
      <c r="AD258" s="30">
        <v>21</v>
      </c>
      <c r="AE258" s="30">
        <f>G258*0</f>
        <v>0</v>
      </c>
      <c r="AF258" s="30">
        <f>G258*(1-0)</f>
        <v>0</v>
      </c>
    </row>
    <row r="259" spans="1:37" ht="12.75">
      <c r="A259" s="9"/>
      <c r="B259" s="9"/>
      <c r="C259" s="20" t="s">
        <v>93</v>
      </c>
      <c r="D259" s="25" t="s">
        <v>546</v>
      </c>
      <c r="E259" s="28"/>
      <c r="F259" s="28"/>
      <c r="G259" s="28"/>
      <c r="H259" s="52">
        <f>SUM(H260:H265)</f>
        <v>0</v>
      </c>
      <c r="I259" s="52">
        <f>SUM(I260:I265)</f>
        <v>0</v>
      </c>
      <c r="J259" s="52">
        <f>H259+I259</f>
        <v>0</v>
      </c>
      <c r="K259" s="44"/>
      <c r="L259" s="52">
        <f>SUM(L260:L265)</f>
        <v>2.5203113999999998</v>
      </c>
      <c r="P259" s="52">
        <f>IF(Q259="PR",J259,SUM(O260:O265))</f>
        <v>0</v>
      </c>
      <c r="Q259" s="44" t="s">
        <v>641</v>
      </c>
      <c r="R259" s="52">
        <f>IF(Q259="HS",H259,0)</f>
        <v>0</v>
      </c>
      <c r="S259" s="52">
        <f>IF(Q259="HS",I259-P259,0)</f>
        <v>0</v>
      </c>
      <c r="T259" s="52">
        <f>IF(Q259="PS",H259,0)</f>
        <v>0</v>
      </c>
      <c r="U259" s="52">
        <f>IF(Q259="PS",I259-P259,0)</f>
        <v>0</v>
      </c>
      <c r="V259" s="52">
        <f>IF(Q259="MP",H259,0)</f>
        <v>0</v>
      </c>
      <c r="W259" s="52">
        <f>IF(Q259="MP",I259-P259,0)</f>
        <v>0</v>
      </c>
      <c r="X259" s="52">
        <f>IF(Q259="OM",H259,0)</f>
        <v>0</v>
      </c>
      <c r="Y259" s="44" t="s">
        <v>262</v>
      </c>
      <c r="AI259" s="52">
        <f>SUM(Z260:Z265)</f>
        <v>0</v>
      </c>
      <c r="AJ259" s="52">
        <f>SUM(AA260:AA265)</f>
        <v>0</v>
      </c>
      <c r="AK259" s="52">
        <f>SUM(AB260:AB265)</f>
        <v>0</v>
      </c>
    </row>
    <row r="260" spans="1:32" ht="12.75">
      <c r="A260" s="10" t="s">
        <v>201</v>
      </c>
      <c r="B260" s="10" t="s">
        <v>262</v>
      </c>
      <c r="C260" s="10" t="s">
        <v>364</v>
      </c>
      <c r="D260" s="10" t="s">
        <v>577</v>
      </c>
      <c r="E260" s="10" t="s">
        <v>614</v>
      </c>
      <c r="F260" s="30">
        <v>7.79</v>
      </c>
      <c r="H260" s="30">
        <f aca="true" t="shared" si="88" ref="H260:H265">ROUND(F260*AE260,2)</f>
        <v>0</v>
      </c>
      <c r="I260" s="30">
        <f aca="true" t="shared" si="89" ref="I260:I265">J260-H260</f>
        <v>0</v>
      </c>
      <c r="J260" s="30">
        <f aca="true" t="shared" si="90" ref="J260:J265">ROUND(F260*G260,2)</f>
        <v>0</v>
      </c>
      <c r="K260" s="30">
        <v>0</v>
      </c>
      <c r="L260" s="30">
        <f aca="true" t="shared" si="91" ref="L260:L265">F260*K260</f>
        <v>0</v>
      </c>
      <c r="N260" s="50" t="s">
        <v>11</v>
      </c>
      <c r="O260" s="30">
        <f aca="true" t="shared" si="92" ref="O260:O265">IF(N260="5",I260,0)</f>
        <v>0</v>
      </c>
      <c r="Z260" s="30">
        <f aca="true" t="shared" si="93" ref="Z260:Z265">IF(AD260=0,J260,0)</f>
        <v>0</v>
      </c>
      <c r="AA260" s="30">
        <f aca="true" t="shared" si="94" ref="AA260:AA265">IF(AD260=15,J260,0)</f>
        <v>0</v>
      </c>
      <c r="AB260" s="30">
        <f aca="true" t="shared" si="95" ref="AB260:AB265">IF(AD260=21,J260,0)</f>
        <v>0</v>
      </c>
      <c r="AD260" s="30">
        <v>21</v>
      </c>
      <c r="AE260" s="30">
        <f>G260*0</f>
        <v>0</v>
      </c>
      <c r="AF260" s="30">
        <f>G260*(1-0)</f>
        <v>0</v>
      </c>
    </row>
    <row r="261" spans="1:32" ht="12.75">
      <c r="A261" s="10" t="s">
        <v>202</v>
      </c>
      <c r="B261" s="10" t="s">
        <v>262</v>
      </c>
      <c r="C261" s="10" t="s">
        <v>365</v>
      </c>
      <c r="D261" s="10" t="s">
        <v>548</v>
      </c>
      <c r="E261" s="10" t="s">
        <v>616</v>
      </c>
      <c r="F261" s="30">
        <v>15.22</v>
      </c>
      <c r="H261" s="30">
        <f t="shared" si="88"/>
        <v>0</v>
      </c>
      <c r="I261" s="30">
        <f t="shared" si="89"/>
        <v>0</v>
      </c>
      <c r="J261" s="30">
        <f t="shared" si="90"/>
        <v>0</v>
      </c>
      <c r="K261" s="30">
        <v>1E-05</v>
      </c>
      <c r="L261" s="30">
        <f t="shared" si="91"/>
        <v>0.0001522</v>
      </c>
      <c r="N261" s="50" t="s">
        <v>7</v>
      </c>
      <c r="O261" s="30">
        <f t="shared" si="92"/>
        <v>0</v>
      </c>
      <c r="Z261" s="30">
        <f t="shared" si="93"/>
        <v>0</v>
      </c>
      <c r="AA261" s="30">
        <f t="shared" si="94"/>
        <v>0</v>
      </c>
      <c r="AB261" s="30">
        <f t="shared" si="95"/>
        <v>0</v>
      </c>
      <c r="AD261" s="30">
        <v>21</v>
      </c>
      <c r="AE261" s="30">
        <f>G261*0.00357719824601892</f>
        <v>0</v>
      </c>
      <c r="AF261" s="30">
        <f>G261*(1-0.00357719824601892)</f>
        <v>0</v>
      </c>
    </row>
    <row r="262" spans="1:32" ht="12.75">
      <c r="A262" s="10" t="s">
        <v>203</v>
      </c>
      <c r="B262" s="10" t="s">
        <v>262</v>
      </c>
      <c r="C262" s="10" t="s">
        <v>288</v>
      </c>
      <c r="D262" s="10" t="s">
        <v>450</v>
      </c>
      <c r="E262" s="10" t="s">
        <v>613</v>
      </c>
      <c r="F262" s="30">
        <v>1</v>
      </c>
      <c r="H262" s="30">
        <f t="shared" si="88"/>
        <v>0</v>
      </c>
      <c r="I262" s="30">
        <f t="shared" si="89"/>
        <v>0</v>
      </c>
      <c r="J262" s="30">
        <f t="shared" si="90"/>
        <v>0</v>
      </c>
      <c r="K262" s="30">
        <v>0.00918</v>
      </c>
      <c r="L262" s="30">
        <f t="shared" si="91"/>
        <v>0.00918</v>
      </c>
      <c r="N262" s="50" t="s">
        <v>7</v>
      </c>
      <c r="O262" s="30">
        <f t="shared" si="92"/>
        <v>0</v>
      </c>
      <c r="Z262" s="30">
        <f t="shared" si="93"/>
        <v>0</v>
      </c>
      <c r="AA262" s="30">
        <f t="shared" si="94"/>
        <v>0</v>
      </c>
      <c r="AB262" s="30">
        <f t="shared" si="95"/>
        <v>0</v>
      </c>
      <c r="AD262" s="30">
        <v>21</v>
      </c>
      <c r="AE262" s="30">
        <f>G262*0.759857896981977</f>
        <v>0</v>
      </c>
      <c r="AF262" s="30">
        <f>G262*(1-0.759857896981977)</f>
        <v>0</v>
      </c>
    </row>
    <row r="263" spans="1:32" ht="12.75">
      <c r="A263" s="10" t="s">
        <v>204</v>
      </c>
      <c r="B263" s="10" t="s">
        <v>262</v>
      </c>
      <c r="C263" s="10" t="s">
        <v>368</v>
      </c>
      <c r="D263" s="10" t="s">
        <v>551</v>
      </c>
      <c r="E263" s="10" t="s">
        <v>613</v>
      </c>
      <c r="F263" s="30">
        <v>5</v>
      </c>
      <c r="H263" s="30">
        <f t="shared" si="88"/>
        <v>0</v>
      </c>
      <c r="I263" s="30">
        <f t="shared" si="89"/>
        <v>0</v>
      </c>
      <c r="J263" s="30">
        <f t="shared" si="90"/>
        <v>0</v>
      </c>
      <c r="K263" s="30">
        <v>0.50215</v>
      </c>
      <c r="L263" s="30">
        <f t="shared" si="91"/>
        <v>2.51075</v>
      </c>
      <c r="N263" s="50" t="s">
        <v>7</v>
      </c>
      <c r="O263" s="30">
        <f t="shared" si="92"/>
        <v>0</v>
      </c>
      <c r="Z263" s="30">
        <f t="shared" si="93"/>
        <v>0</v>
      </c>
      <c r="AA263" s="30">
        <f t="shared" si="94"/>
        <v>0</v>
      </c>
      <c r="AB263" s="30">
        <f t="shared" si="95"/>
        <v>0</v>
      </c>
      <c r="AD263" s="30">
        <v>21</v>
      </c>
      <c r="AE263" s="30">
        <f>G263*0.710357072028256</f>
        <v>0</v>
      </c>
      <c r="AF263" s="30">
        <f>G263*(1-0.710357072028256)</f>
        <v>0</v>
      </c>
    </row>
    <row r="264" spans="1:32" ht="12.75">
      <c r="A264" s="10" t="s">
        <v>205</v>
      </c>
      <c r="B264" s="10" t="s">
        <v>262</v>
      </c>
      <c r="C264" s="10" t="s">
        <v>393</v>
      </c>
      <c r="D264" s="10" t="s">
        <v>578</v>
      </c>
      <c r="E264" s="10" t="s">
        <v>616</v>
      </c>
      <c r="F264" s="30">
        <v>125.22</v>
      </c>
      <c r="H264" s="30">
        <f t="shared" si="88"/>
        <v>0</v>
      </c>
      <c r="I264" s="30">
        <f t="shared" si="89"/>
        <v>0</v>
      </c>
      <c r="J264" s="30">
        <f t="shared" si="90"/>
        <v>0</v>
      </c>
      <c r="K264" s="30">
        <v>0</v>
      </c>
      <c r="L264" s="30">
        <f t="shared" si="91"/>
        <v>0</v>
      </c>
      <c r="N264" s="50" t="s">
        <v>7</v>
      </c>
      <c r="O264" s="30">
        <f t="shared" si="92"/>
        <v>0</v>
      </c>
      <c r="Z264" s="30">
        <f t="shared" si="93"/>
        <v>0</v>
      </c>
      <c r="AA264" s="30">
        <f t="shared" si="94"/>
        <v>0</v>
      </c>
      <c r="AB264" s="30">
        <f t="shared" si="95"/>
        <v>0</v>
      </c>
      <c r="AD264" s="30">
        <v>21</v>
      </c>
      <c r="AE264" s="30">
        <f>G264*0.0644490644490645</f>
        <v>0</v>
      </c>
      <c r="AF264" s="30">
        <f>G264*(1-0.0644490644490645)</f>
        <v>0</v>
      </c>
    </row>
    <row r="265" spans="1:32" ht="12.75">
      <c r="A265" s="10" t="s">
        <v>206</v>
      </c>
      <c r="B265" s="10" t="s">
        <v>262</v>
      </c>
      <c r="C265" s="10" t="s">
        <v>366</v>
      </c>
      <c r="D265" s="10" t="s">
        <v>549</v>
      </c>
      <c r="E265" s="10" t="s">
        <v>616</v>
      </c>
      <c r="F265" s="30">
        <v>22.92</v>
      </c>
      <c r="H265" s="30">
        <f t="shared" si="88"/>
        <v>0</v>
      </c>
      <c r="I265" s="30">
        <f t="shared" si="89"/>
        <v>0</v>
      </c>
      <c r="J265" s="30">
        <f t="shared" si="90"/>
        <v>0</v>
      </c>
      <c r="K265" s="30">
        <v>1E-05</v>
      </c>
      <c r="L265" s="30">
        <f t="shared" si="91"/>
        <v>0.00022920000000000004</v>
      </c>
      <c r="N265" s="50" t="s">
        <v>7</v>
      </c>
      <c r="O265" s="30">
        <f t="shared" si="92"/>
        <v>0</v>
      </c>
      <c r="Z265" s="30">
        <f t="shared" si="93"/>
        <v>0</v>
      </c>
      <c r="AA265" s="30">
        <f t="shared" si="94"/>
        <v>0</v>
      </c>
      <c r="AB265" s="30">
        <f t="shared" si="95"/>
        <v>0</v>
      </c>
      <c r="AD265" s="30">
        <v>21</v>
      </c>
      <c r="AE265" s="30">
        <f>G265*0.00369318181818182</f>
        <v>0</v>
      </c>
      <c r="AF265" s="30">
        <f>G265*(1-0.00369318181818182)</f>
        <v>0</v>
      </c>
    </row>
    <row r="266" spans="1:37" ht="12.75">
      <c r="A266" s="9"/>
      <c r="B266" s="9"/>
      <c r="C266" s="20" t="s">
        <v>95</v>
      </c>
      <c r="D266" s="25" t="s">
        <v>473</v>
      </c>
      <c r="E266" s="28"/>
      <c r="F266" s="28"/>
      <c r="G266" s="28"/>
      <c r="H266" s="52">
        <f>SUM(H267:H271)</f>
        <v>0</v>
      </c>
      <c r="I266" s="52">
        <f>SUM(I267:I271)</f>
        <v>0</v>
      </c>
      <c r="J266" s="52">
        <f>H266+I266</f>
        <v>0</v>
      </c>
      <c r="K266" s="44"/>
      <c r="L266" s="52">
        <f>SUM(L267:L271)</f>
        <v>1.7561</v>
      </c>
      <c r="P266" s="52">
        <f>IF(Q266="PR",J266,SUM(O267:O271))</f>
        <v>0</v>
      </c>
      <c r="Q266" s="44" t="s">
        <v>641</v>
      </c>
      <c r="R266" s="52">
        <f>IF(Q266="HS",H266,0)</f>
        <v>0</v>
      </c>
      <c r="S266" s="52">
        <f>IF(Q266="HS",I266-P266,0)</f>
        <v>0</v>
      </c>
      <c r="T266" s="52">
        <f>IF(Q266="PS",H266,0)</f>
        <v>0</v>
      </c>
      <c r="U266" s="52">
        <f>IF(Q266="PS",I266-P266,0)</f>
        <v>0</v>
      </c>
      <c r="V266" s="52">
        <f>IF(Q266="MP",H266,0)</f>
        <v>0</v>
      </c>
      <c r="W266" s="52">
        <f>IF(Q266="MP",I266-P266,0)</f>
        <v>0</v>
      </c>
      <c r="X266" s="52">
        <f>IF(Q266="OM",H266,0)</f>
        <v>0</v>
      </c>
      <c r="Y266" s="44" t="s">
        <v>262</v>
      </c>
      <c r="AI266" s="52">
        <f>SUM(Z267:Z271)</f>
        <v>0</v>
      </c>
      <c r="AJ266" s="52">
        <f>SUM(AA267:AA271)</f>
        <v>0</v>
      </c>
      <c r="AK266" s="52">
        <f>SUM(AB267:AB271)</f>
        <v>0</v>
      </c>
    </row>
    <row r="267" spans="1:32" ht="12.75">
      <c r="A267" s="10" t="s">
        <v>207</v>
      </c>
      <c r="B267" s="10" t="s">
        <v>262</v>
      </c>
      <c r="C267" s="10" t="s">
        <v>394</v>
      </c>
      <c r="D267" s="10" t="s">
        <v>579</v>
      </c>
      <c r="E267" s="10" t="s">
        <v>616</v>
      </c>
      <c r="F267" s="30">
        <v>12</v>
      </c>
      <c r="H267" s="30">
        <f>ROUND(F267*AE267,2)</f>
        <v>0</v>
      </c>
      <c r="I267" s="30">
        <f>J267-H267</f>
        <v>0</v>
      </c>
      <c r="J267" s="30">
        <f>ROUND(F267*G267,2)</f>
        <v>0</v>
      </c>
      <c r="K267" s="30">
        <v>0</v>
      </c>
      <c r="L267" s="30">
        <f>F267*K267</f>
        <v>0</v>
      </c>
      <c r="N267" s="50" t="s">
        <v>7</v>
      </c>
      <c r="O267" s="30">
        <f>IF(N267="5",I267,0)</f>
        <v>0</v>
      </c>
      <c r="Z267" s="30">
        <f>IF(AD267=0,J267,0)</f>
        <v>0</v>
      </c>
      <c r="AA267" s="30">
        <f>IF(AD267=15,J267,0)</f>
        <v>0</v>
      </c>
      <c r="AB267" s="30">
        <f>IF(AD267=21,J267,0)</f>
        <v>0</v>
      </c>
      <c r="AD267" s="30">
        <v>21</v>
      </c>
      <c r="AE267" s="30">
        <f>G267*0.665338969273289</f>
        <v>0</v>
      </c>
      <c r="AF267" s="30">
        <f>G267*(1-0.665338969273289)</f>
        <v>0</v>
      </c>
    </row>
    <row r="268" spans="1:32" ht="12.75">
      <c r="A268" s="10" t="s">
        <v>208</v>
      </c>
      <c r="B268" s="10" t="s">
        <v>262</v>
      </c>
      <c r="C268" s="10" t="s">
        <v>313</v>
      </c>
      <c r="D268" s="10" t="s">
        <v>479</v>
      </c>
      <c r="E268" s="10" t="s">
        <v>616</v>
      </c>
      <c r="F268" s="30">
        <v>12</v>
      </c>
      <c r="H268" s="30">
        <f>ROUND(F268*AE268,2)</f>
        <v>0</v>
      </c>
      <c r="I268" s="30">
        <f>J268-H268</f>
        <v>0</v>
      </c>
      <c r="J268" s="30">
        <f>ROUND(F268*G268,2)</f>
        <v>0</v>
      </c>
      <c r="K268" s="30">
        <v>0.0043</v>
      </c>
      <c r="L268" s="30">
        <f>F268*K268</f>
        <v>0.0516</v>
      </c>
      <c r="N268" s="50" t="s">
        <v>7</v>
      </c>
      <c r="O268" s="30">
        <f>IF(N268="5",I268,0)</f>
        <v>0</v>
      </c>
      <c r="Z268" s="30">
        <f>IF(AD268=0,J268,0)</f>
        <v>0</v>
      </c>
      <c r="AA268" s="30">
        <f>IF(AD268=15,J268,0)</f>
        <v>0</v>
      </c>
      <c r="AB268" s="30">
        <f>IF(AD268=21,J268,0)</f>
        <v>0</v>
      </c>
      <c r="AD268" s="30">
        <v>21</v>
      </c>
      <c r="AE268" s="30">
        <f>G268*0.591760006266155</f>
        <v>0</v>
      </c>
      <c r="AF268" s="30">
        <f>G268*(1-0.591760006266155)</f>
        <v>0</v>
      </c>
    </row>
    <row r="269" spans="1:32" ht="12.75">
      <c r="A269" s="10" t="s">
        <v>209</v>
      </c>
      <c r="B269" s="10" t="s">
        <v>262</v>
      </c>
      <c r="C269" s="10" t="s">
        <v>312</v>
      </c>
      <c r="D269" s="10" t="s">
        <v>478</v>
      </c>
      <c r="E269" s="10" t="s">
        <v>616</v>
      </c>
      <c r="F269" s="30">
        <v>12</v>
      </c>
      <c r="H269" s="30">
        <f>ROUND(F269*AE269,2)</f>
        <v>0</v>
      </c>
      <c r="I269" s="30">
        <f>J269-H269</f>
        <v>0</v>
      </c>
      <c r="J269" s="30">
        <f>ROUND(F269*G269,2)</f>
        <v>0</v>
      </c>
      <c r="K269" s="30">
        <v>0</v>
      </c>
      <c r="L269" s="30">
        <f>F269*K269</f>
        <v>0</v>
      </c>
      <c r="N269" s="50" t="s">
        <v>7</v>
      </c>
      <c r="O269" s="30">
        <f>IF(N269="5",I269,0)</f>
        <v>0</v>
      </c>
      <c r="Z269" s="30">
        <f>IF(AD269=0,J269,0)</f>
        <v>0</v>
      </c>
      <c r="AA269" s="30">
        <f>IF(AD269=15,J269,0)</f>
        <v>0</v>
      </c>
      <c r="AB269" s="30">
        <f>IF(AD269=21,J269,0)</f>
        <v>0</v>
      </c>
      <c r="AD269" s="30">
        <v>21</v>
      </c>
      <c r="AE269" s="30">
        <f>G269*0</f>
        <v>0</v>
      </c>
      <c r="AF269" s="30">
        <f>G269*(1-0)</f>
        <v>0</v>
      </c>
    </row>
    <row r="270" spans="1:32" ht="12.75">
      <c r="A270" s="10" t="s">
        <v>210</v>
      </c>
      <c r="B270" s="10" t="s">
        <v>262</v>
      </c>
      <c r="C270" s="10" t="s">
        <v>395</v>
      </c>
      <c r="D270" s="10" t="s">
        <v>580</v>
      </c>
      <c r="E270" s="10" t="s">
        <v>613</v>
      </c>
      <c r="F270" s="30">
        <v>5</v>
      </c>
      <c r="H270" s="30">
        <f>ROUND(F270*AE270,2)</f>
        <v>0</v>
      </c>
      <c r="I270" s="30">
        <f>J270-H270</f>
        <v>0</v>
      </c>
      <c r="J270" s="30">
        <f>ROUND(F270*G270,2)</f>
        <v>0</v>
      </c>
      <c r="K270" s="30">
        <v>0.3409</v>
      </c>
      <c r="L270" s="30">
        <f>F270*K270</f>
        <v>1.7045</v>
      </c>
      <c r="N270" s="50" t="s">
        <v>7</v>
      </c>
      <c r="O270" s="30">
        <f>IF(N270="5",I270,0)</f>
        <v>0</v>
      </c>
      <c r="Z270" s="30">
        <f>IF(AD270=0,J270,0)</f>
        <v>0</v>
      </c>
      <c r="AA270" s="30">
        <f>IF(AD270=15,J270,0)</f>
        <v>0</v>
      </c>
      <c r="AB270" s="30">
        <f>IF(AD270=21,J270,0)</f>
        <v>0</v>
      </c>
      <c r="AD270" s="30">
        <v>21</v>
      </c>
      <c r="AE270" s="30">
        <f>G270*0.0937847858990478</f>
        <v>0</v>
      </c>
      <c r="AF270" s="30">
        <f>G270*(1-0.0937847858990478)</f>
        <v>0</v>
      </c>
    </row>
    <row r="271" spans="1:32" ht="12.75">
      <c r="A271" s="10" t="s">
        <v>211</v>
      </c>
      <c r="B271" s="10" t="s">
        <v>262</v>
      </c>
      <c r="C271" s="10" t="s">
        <v>394</v>
      </c>
      <c r="D271" s="10" t="s">
        <v>579</v>
      </c>
      <c r="E271" s="10" t="s">
        <v>616</v>
      </c>
      <c r="F271" s="30">
        <v>12</v>
      </c>
      <c r="H271" s="30">
        <f>ROUND(F271*AE271,2)</f>
        <v>0</v>
      </c>
      <c r="I271" s="30">
        <f>J271-H271</f>
        <v>0</v>
      </c>
      <c r="J271" s="30">
        <f>ROUND(F271*G271,2)</f>
        <v>0</v>
      </c>
      <c r="K271" s="30">
        <v>0</v>
      </c>
      <c r="L271" s="30">
        <f>F271*K271</f>
        <v>0</v>
      </c>
      <c r="N271" s="50" t="s">
        <v>7</v>
      </c>
      <c r="O271" s="30">
        <f>IF(N271="5",I271,0)</f>
        <v>0</v>
      </c>
      <c r="Z271" s="30">
        <f>IF(AD271=0,J271,0)</f>
        <v>0</v>
      </c>
      <c r="AA271" s="30">
        <f>IF(AD271=15,J271,0)</f>
        <v>0</v>
      </c>
      <c r="AB271" s="30">
        <f>IF(AD271=21,J271,0)</f>
        <v>0</v>
      </c>
      <c r="AD271" s="30">
        <v>21</v>
      </c>
      <c r="AE271" s="30">
        <f>G271*0.665338969273289</f>
        <v>0</v>
      </c>
      <c r="AF271" s="30">
        <f>G271*(1-0.665338969273289)</f>
        <v>0</v>
      </c>
    </row>
    <row r="272" spans="1:37" ht="12.75">
      <c r="A272" s="9"/>
      <c r="B272" s="9"/>
      <c r="C272" s="20"/>
      <c r="D272" s="25" t="s">
        <v>487</v>
      </c>
      <c r="E272" s="28"/>
      <c r="F272" s="28"/>
      <c r="G272" s="28"/>
      <c r="H272" s="52">
        <f>SUM(H273:H283)</f>
        <v>0</v>
      </c>
      <c r="I272" s="52">
        <f>SUM(I273:I283)</f>
        <v>0</v>
      </c>
      <c r="J272" s="52">
        <f>H272+I272</f>
        <v>0</v>
      </c>
      <c r="K272" s="44"/>
      <c r="L272" s="52">
        <f>SUM(L273:L283)</f>
        <v>7.048399999999999</v>
      </c>
      <c r="P272" s="52">
        <f>IF(Q272="PR",J272,SUM(O273:O283))</f>
        <v>0</v>
      </c>
      <c r="Q272" s="44" t="s">
        <v>643</v>
      </c>
      <c r="R272" s="52">
        <f>IF(Q272="HS",H272,0)</f>
        <v>0</v>
      </c>
      <c r="S272" s="52">
        <f>IF(Q272="HS",I272-P272,0)</f>
        <v>0</v>
      </c>
      <c r="T272" s="52">
        <f>IF(Q272="PS",H272,0)</f>
        <v>0</v>
      </c>
      <c r="U272" s="52">
        <f>IF(Q272="PS",I272-P272,0)</f>
        <v>0</v>
      </c>
      <c r="V272" s="52">
        <f>IF(Q272="MP",H272,0)</f>
        <v>0</v>
      </c>
      <c r="W272" s="52">
        <f>IF(Q272="MP",I272-P272,0)</f>
        <v>0</v>
      </c>
      <c r="X272" s="52">
        <f>IF(Q272="OM",H272,0)</f>
        <v>0</v>
      </c>
      <c r="Y272" s="44" t="s">
        <v>262</v>
      </c>
      <c r="AI272" s="52">
        <f>SUM(Z273:Z283)</f>
        <v>0</v>
      </c>
      <c r="AJ272" s="52">
        <f>SUM(AA273:AA283)</f>
        <v>0</v>
      </c>
      <c r="AK272" s="52">
        <f>SUM(AB273:AB283)</f>
        <v>0</v>
      </c>
    </row>
    <row r="273" spans="1:32" ht="12.75">
      <c r="A273" s="10" t="s">
        <v>212</v>
      </c>
      <c r="B273" s="10" t="s">
        <v>262</v>
      </c>
      <c r="C273" s="10" t="s">
        <v>376</v>
      </c>
      <c r="D273" s="10" t="s">
        <v>559</v>
      </c>
      <c r="E273" s="10" t="s">
        <v>618</v>
      </c>
      <c r="F273" s="30">
        <v>20</v>
      </c>
      <c r="H273" s="30">
        <f aca="true" t="shared" si="96" ref="H273:H283">ROUND(F273*AE273,2)</f>
        <v>0</v>
      </c>
      <c r="I273" s="30">
        <f aca="true" t="shared" si="97" ref="I273:I283">J273-H273</f>
        <v>0</v>
      </c>
      <c r="J273" s="30">
        <f aca="true" t="shared" si="98" ref="J273:J283">ROUND(F273*G273,2)</f>
        <v>0</v>
      </c>
      <c r="K273" s="30">
        <v>0</v>
      </c>
      <c r="L273" s="30">
        <f aca="true" t="shared" si="99" ref="L273:L283">F273*K273</f>
        <v>0</v>
      </c>
      <c r="N273" s="50" t="s">
        <v>266</v>
      </c>
      <c r="O273" s="30">
        <f aca="true" t="shared" si="100" ref="O273:O283">IF(N273="5",I273,0)</f>
        <v>0</v>
      </c>
      <c r="Z273" s="30">
        <f aca="true" t="shared" si="101" ref="Z273:Z283">IF(AD273=0,J273,0)</f>
        <v>0</v>
      </c>
      <c r="AA273" s="30">
        <f aca="true" t="shared" si="102" ref="AA273:AA283">IF(AD273=15,J273,0)</f>
        <v>0</v>
      </c>
      <c r="AB273" s="30">
        <f aca="true" t="shared" si="103" ref="AB273:AB283">IF(AD273=21,J273,0)</f>
        <v>0</v>
      </c>
      <c r="AD273" s="30">
        <v>21</v>
      </c>
      <c r="AE273" s="30">
        <f aca="true" t="shared" si="104" ref="AE273:AE283">G273*1</f>
        <v>0</v>
      </c>
      <c r="AF273" s="30">
        <f aca="true" t="shared" si="105" ref="AF273:AF283">G273*(1-1)</f>
        <v>0</v>
      </c>
    </row>
    <row r="274" spans="1:32" ht="12.75">
      <c r="A274" s="10" t="s">
        <v>213</v>
      </c>
      <c r="B274" s="10" t="s">
        <v>262</v>
      </c>
      <c r="C274" s="10" t="s">
        <v>396</v>
      </c>
      <c r="D274" s="10" t="s">
        <v>581</v>
      </c>
      <c r="E274" s="10" t="s">
        <v>618</v>
      </c>
      <c r="F274" s="30">
        <v>4</v>
      </c>
      <c r="H274" s="30">
        <f t="shared" si="96"/>
        <v>0</v>
      </c>
      <c r="I274" s="30">
        <f t="shared" si="97"/>
        <v>0</v>
      </c>
      <c r="J274" s="30">
        <f t="shared" si="98"/>
        <v>0</v>
      </c>
      <c r="K274" s="30">
        <v>0</v>
      </c>
      <c r="L274" s="30">
        <f t="shared" si="99"/>
        <v>0</v>
      </c>
      <c r="N274" s="50" t="s">
        <v>266</v>
      </c>
      <c r="O274" s="30">
        <f t="shared" si="100"/>
        <v>0</v>
      </c>
      <c r="Z274" s="30">
        <f t="shared" si="101"/>
        <v>0</v>
      </c>
      <c r="AA274" s="30">
        <f t="shared" si="102"/>
        <v>0</v>
      </c>
      <c r="AB274" s="30">
        <f t="shared" si="103"/>
        <v>0</v>
      </c>
      <c r="AD274" s="30">
        <v>21</v>
      </c>
      <c r="AE274" s="30">
        <f t="shared" si="104"/>
        <v>0</v>
      </c>
      <c r="AF274" s="30">
        <f t="shared" si="105"/>
        <v>0</v>
      </c>
    </row>
    <row r="275" spans="1:32" ht="12.75">
      <c r="A275" s="10" t="s">
        <v>214</v>
      </c>
      <c r="B275" s="10" t="s">
        <v>262</v>
      </c>
      <c r="C275" s="10" t="s">
        <v>377</v>
      </c>
      <c r="D275" s="10" t="s">
        <v>560</v>
      </c>
      <c r="E275" s="10" t="s">
        <v>620</v>
      </c>
      <c r="F275" s="30">
        <v>5.53</v>
      </c>
      <c r="H275" s="30">
        <f t="shared" si="96"/>
        <v>0</v>
      </c>
      <c r="I275" s="30">
        <f t="shared" si="97"/>
        <v>0</v>
      </c>
      <c r="J275" s="30">
        <f t="shared" si="98"/>
        <v>0</v>
      </c>
      <c r="K275" s="30">
        <v>1</v>
      </c>
      <c r="L275" s="30">
        <f t="shared" si="99"/>
        <v>5.53</v>
      </c>
      <c r="N275" s="50" t="s">
        <v>266</v>
      </c>
      <c r="O275" s="30">
        <f t="shared" si="100"/>
        <v>0</v>
      </c>
      <c r="Z275" s="30">
        <f t="shared" si="101"/>
        <v>0</v>
      </c>
      <c r="AA275" s="30">
        <f t="shared" si="102"/>
        <v>0</v>
      </c>
      <c r="AB275" s="30">
        <f t="shared" si="103"/>
        <v>0</v>
      </c>
      <c r="AD275" s="30">
        <v>21</v>
      </c>
      <c r="AE275" s="30">
        <f t="shared" si="104"/>
        <v>0</v>
      </c>
      <c r="AF275" s="30">
        <f t="shared" si="105"/>
        <v>0</v>
      </c>
    </row>
    <row r="276" spans="1:32" ht="12.75">
      <c r="A276" s="10" t="s">
        <v>215</v>
      </c>
      <c r="B276" s="10" t="s">
        <v>262</v>
      </c>
      <c r="C276" s="10" t="s">
        <v>378</v>
      </c>
      <c r="D276" s="10" t="s">
        <v>561</v>
      </c>
      <c r="E276" s="10" t="s">
        <v>613</v>
      </c>
      <c r="F276" s="30">
        <v>2</v>
      </c>
      <c r="H276" s="30">
        <f t="shared" si="96"/>
        <v>0</v>
      </c>
      <c r="I276" s="30">
        <f t="shared" si="97"/>
        <v>0</v>
      </c>
      <c r="J276" s="30">
        <f t="shared" si="98"/>
        <v>0</v>
      </c>
      <c r="K276" s="30">
        <v>0.022</v>
      </c>
      <c r="L276" s="30">
        <f t="shared" si="99"/>
        <v>0.044</v>
      </c>
      <c r="N276" s="50" t="s">
        <v>266</v>
      </c>
      <c r="O276" s="30">
        <f t="shared" si="100"/>
        <v>0</v>
      </c>
      <c r="Z276" s="30">
        <f t="shared" si="101"/>
        <v>0</v>
      </c>
      <c r="AA276" s="30">
        <f t="shared" si="102"/>
        <v>0</v>
      </c>
      <c r="AB276" s="30">
        <f t="shared" si="103"/>
        <v>0</v>
      </c>
      <c r="AD276" s="30">
        <v>21</v>
      </c>
      <c r="AE276" s="30">
        <f t="shared" si="104"/>
        <v>0</v>
      </c>
      <c r="AF276" s="30">
        <f t="shared" si="105"/>
        <v>0</v>
      </c>
    </row>
    <row r="277" spans="1:32" ht="12.75">
      <c r="A277" s="10" t="s">
        <v>216</v>
      </c>
      <c r="B277" s="10" t="s">
        <v>262</v>
      </c>
      <c r="C277" s="10" t="s">
        <v>397</v>
      </c>
      <c r="D277" s="10" t="s">
        <v>582</v>
      </c>
      <c r="E277" s="10" t="s">
        <v>613</v>
      </c>
      <c r="F277" s="30">
        <v>1</v>
      </c>
      <c r="H277" s="30">
        <f t="shared" si="96"/>
        <v>0</v>
      </c>
      <c r="I277" s="30">
        <f t="shared" si="97"/>
        <v>0</v>
      </c>
      <c r="J277" s="30">
        <f t="shared" si="98"/>
        <v>0</v>
      </c>
      <c r="K277" s="30">
        <v>0.0131</v>
      </c>
      <c r="L277" s="30">
        <f t="shared" si="99"/>
        <v>0.0131</v>
      </c>
      <c r="N277" s="50" t="s">
        <v>266</v>
      </c>
      <c r="O277" s="30">
        <f t="shared" si="100"/>
        <v>0</v>
      </c>
      <c r="Z277" s="30">
        <f t="shared" si="101"/>
        <v>0</v>
      </c>
      <c r="AA277" s="30">
        <f t="shared" si="102"/>
        <v>0</v>
      </c>
      <c r="AB277" s="30">
        <f t="shared" si="103"/>
        <v>0</v>
      </c>
      <c r="AD277" s="30">
        <v>21</v>
      </c>
      <c r="AE277" s="30">
        <f t="shared" si="104"/>
        <v>0</v>
      </c>
      <c r="AF277" s="30">
        <f t="shared" si="105"/>
        <v>0</v>
      </c>
    </row>
    <row r="278" spans="1:32" ht="12.75">
      <c r="A278" s="10" t="s">
        <v>217</v>
      </c>
      <c r="B278" s="10" t="s">
        <v>262</v>
      </c>
      <c r="C278" s="10" t="s">
        <v>379</v>
      </c>
      <c r="D278" s="10" t="s">
        <v>562</v>
      </c>
      <c r="E278" s="10" t="s">
        <v>613</v>
      </c>
      <c r="F278" s="30">
        <v>5</v>
      </c>
      <c r="H278" s="30">
        <f t="shared" si="96"/>
        <v>0</v>
      </c>
      <c r="I278" s="30">
        <f t="shared" si="97"/>
        <v>0</v>
      </c>
      <c r="J278" s="30">
        <f t="shared" si="98"/>
        <v>0</v>
      </c>
      <c r="K278" s="30">
        <v>0.1523</v>
      </c>
      <c r="L278" s="30">
        <f t="shared" si="99"/>
        <v>0.7615</v>
      </c>
      <c r="N278" s="50" t="s">
        <v>266</v>
      </c>
      <c r="O278" s="30">
        <f t="shared" si="100"/>
        <v>0</v>
      </c>
      <c r="Z278" s="30">
        <f t="shared" si="101"/>
        <v>0</v>
      </c>
      <c r="AA278" s="30">
        <f t="shared" si="102"/>
        <v>0</v>
      </c>
      <c r="AB278" s="30">
        <f t="shared" si="103"/>
        <v>0</v>
      </c>
      <c r="AD278" s="30">
        <v>21</v>
      </c>
      <c r="AE278" s="30">
        <f t="shared" si="104"/>
        <v>0</v>
      </c>
      <c r="AF278" s="30">
        <f t="shared" si="105"/>
        <v>0</v>
      </c>
    </row>
    <row r="279" spans="1:32" ht="12.75">
      <c r="A279" s="10" t="s">
        <v>218</v>
      </c>
      <c r="B279" s="10" t="s">
        <v>262</v>
      </c>
      <c r="C279" s="10" t="s">
        <v>380</v>
      </c>
      <c r="D279" s="10" t="s">
        <v>563</v>
      </c>
      <c r="E279" s="10" t="s">
        <v>613</v>
      </c>
      <c r="F279" s="30">
        <v>3</v>
      </c>
      <c r="H279" s="30">
        <f t="shared" si="96"/>
        <v>0</v>
      </c>
      <c r="I279" s="30">
        <f t="shared" si="97"/>
        <v>0</v>
      </c>
      <c r="J279" s="30">
        <f t="shared" si="98"/>
        <v>0</v>
      </c>
      <c r="K279" s="30">
        <v>0.169</v>
      </c>
      <c r="L279" s="30">
        <f t="shared" si="99"/>
        <v>0.507</v>
      </c>
      <c r="N279" s="50" t="s">
        <v>266</v>
      </c>
      <c r="O279" s="30">
        <f t="shared" si="100"/>
        <v>0</v>
      </c>
      <c r="Z279" s="30">
        <f t="shared" si="101"/>
        <v>0</v>
      </c>
      <c r="AA279" s="30">
        <f t="shared" si="102"/>
        <v>0</v>
      </c>
      <c r="AB279" s="30">
        <f t="shared" si="103"/>
        <v>0</v>
      </c>
      <c r="AD279" s="30">
        <v>21</v>
      </c>
      <c r="AE279" s="30">
        <f t="shared" si="104"/>
        <v>0</v>
      </c>
      <c r="AF279" s="30">
        <f t="shared" si="105"/>
        <v>0</v>
      </c>
    </row>
    <row r="280" spans="1:32" ht="12.75">
      <c r="A280" s="10" t="s">
        <v>219</v>
      </c>
      <c r="B280" s="10" t="s">
        <v>262</v>
      </c>
      <c r="C280" s="10" t="s">
        <v>385</v>
      </c>
      <c r="D280" s="10" t="s">
        <v>568</v>
      </c>
      <c r="E280" s="10" t="s">
        <v>616</v>
      </c>
      <c r="F280" s="30">
        <v>15.22</v>
      </c>
      <c r="H280" s="30">
        <f t="shared" si="96"/>
        <v>0</v>
      </c>
      <c r="I280" s="30">
        <f t="shared" si="97"/>
        <v>0</v>
      </c>
      <c r="J280" s="30">
        <f t="shared" si="98"/>
        <v>0</v>
      </c>
      <c r="K280" s="30">
        <v>0</v>
      </c>
      <c r="L280" s="30">
        <f t="shared" si="99"/>
        <v>0</v>
      </c>
      <c r="N280" s="50" t="s">
        <v>266</v>
      </c>
      <c r="O280" s="30">
        <f t="shared" si="100"/>
        <v>0</v>
      </c>
      <c r="Z280" s="30">
        <f t="shared" si="101"/>
        <v>0</v>
      </c>
      <c r="AA280" s="30">
        <f t="shared" si="102"/>
        <v>0</v>
      </c>
      <c r="AB280" s="30">
        <f t="shared" si="103"/>
        <v>0</v>
      </c>
      <c r="AD280" s="30">
        <v>21</v>
      </c>
      <c r="AE280" s="30">
        <f t="shared" si="104"/>
        <v>0</v>
      </c>
      <c r="AF280" s="30">
        <f t="shared" si="105"/>
        <v>0</v>
      </c>
    </row>
    <row r="281" spans="1:32" ht="12.75">
      <c r="A281" s="10" t="s">
        <v>220</v>
      </c>
      <c r="B281" s="10" t="s">
        <v>262</v>
      </c>
      <c r="C281" s="10" t="s">
        <v>398</v>
      </c>
      <c r="D281" s="10" t="s">
        <v>583</v>
      </c>
      <c r="E281" s="10" t="s">
        <v>613</v>
      </c>
      <c r="F281" s="30">
        <v>4</v>
      </c>
      <c r="H281" s="30">
        <f t="shared" si="96"/>
        <v>0</v>
      </c>
      <c r="I281" s="30">
        <f t="shared" si="97"/>
        <v>0</v>
      </c>
      <c r="J281" s="30">
        <f t="shared" si="98"/>
        <v>0</v>
      </c>
      <c r="K281" s="30">
        <v>0.022</v>
      </c>
      <c r="L281" s="30">
        <f t="shared" si="99"/>
        <v>0.088</v>
      </c>
      <c r="N281" s="50" t="s">
        <v>266</v>
      </c>
      <c r="O281" s="30">
        <f t="shared" si="100"/>
        <v>0</v>
      </c>
      <c r="Z281" s="30">
        <f t="shared" si="101"/>
        <v>0</v>
      </c>
      <c r="AA281" s="30">
        <f t="shared" si="102"/>
        <v>0</v>
      </c>
      <c r="AB281" s="30">
        <f t="shared" si="103"/>
        <v>0</v>
      </c>
      <c r="AD281" s="30">
        <v>21</v>
      </c>
      <c r="AE281" s="30">
        <f t="shared" si="104"/>
        <v>0</v>
      </c>
      <c r="AF281" s="30">
        <f t="shared" si="105"/>
        <v>0</v>
      </c>
    </row>
    <row r="282" spans="1:32" ht="12.75">
      <c r="A282" s="10" t="s">
        <v>221</v>
      </c>
      <c r="B282" s="10" t="s">
        <v>262</v>
      </c>
      <c r="C282" s="10" t="s">
        <v>383</v>
      </c>
      <c r="D282" s="10" t="s">
        <v>566</v>
      </c>
      <c r="E282" s="10" t="s">
        <v>613</v>
      </c>
      <c r="F282" s="30">
        <v>4</v>
      </c>
      <c r="H282" s="30">
        <f t="shared" si="96"/>
        <v>0</v>
      </c>
      <c r="I282" s="30">
        <f t="shared" si="97"/>
        <v>0</v>
      </c>
      <c r="J282" s="30">
        <f t="shared" si="98"/>
        <v>0</v>
      </c>
      <c r="K282" s="30">
        <v>0.0262</v>
      </c>
      <c r="L282" s="30">
        <f t="shared" si="99"/>
        <v>0.1048</v>
      </c>
      <c r="N282" s="50" t="s">
        <v>266</v>
      </c>
      <c r="O282" s="30">
        <f t="shared" si="100"/>
        <v>0</v>
      </c>
      <c r="Z282" s="30">
        <f t="shared" si="101"/>
        <v>0</v>
      </c>
      <c r="AA282" s="30">
        <f t="shared" si="102"/>
        <v>0</v>
      </c>
      <c r="AB282" s="30">
        <f t="shared" si="103"/>
        <v>0</v>
      </c>
      <c r="AD282" s="30">
        <v>21</v>
      </c>
      <c r="AE282" s="30">
        <f t="shared" si="104"/>
        <v>0</v>
      </c>
      <c r="AF282" s="30">
        <f t="shared" si="105"/>
        <v>0</v>
      </c>
    </row>
    <row r="283" spans="1:32" ht="12.75">
      <c r="A283" s="10" t="s">
        <v>222</v>
      </c>
      <c r="B283" s="10" t="s">
        <v>262</v>
      </c>
      <c r="C283" s="10" t="s">
        <v>399</v>
      </c>
      <c r="D283" s="10" t="s">
        <v>584</v>
      </c>
      <c r="E283" s="10" t="s">
        <v>618</v>
      </c>
      <c r="F283" s="30">
        <v>4</v>
      </c>
      <c r="H283" s="30">
        <f t="shared" si="96"/>
        <v>0</v>
      </c>
      <c r="I283" s="30">
        <f t="shared" si="97"/>
        <v>0</v>
      </c>
      <c r="J283" s="30">
        <f t="shared" si="98"/>
        <v>0</v>
      </c>
      <c r="K283" s="30">
        <v>0</v>
      </c>
      <c r="L283" s="30">
        <f t="shared" si="99"/>
        <v>0</v>
      </c>
      <c r="N283" s="50" t="s">
        <v>266</v>
      </c>
      <c r="O283" s="30">
        <f t="shared" si="100"/>
        <v>0</v>
      </c>
      <c r="Z283" s="30">
        <f t="shared" si="101"/>
        <v>0</v>
      </c>
      <c r="AA283" s="30">
        <f t="shared" si="102"/>
        <v>0</v>
      </c>
      <c r="AB283" s="30">
        <f t="shared" si="103"/>
        <v>0</v>
      </c>
      <c r="AD283" s="30">
        <v>21</v>
      </c>
      <c r="AE283" s="30">
        <f t="shared" si="104"/>
        <v>0</v>
      </c>
      <c r="AF283" s="30">
        <f t="shared" si="105"/>
        <v>0</v>
      </c>
    </row>
    <row r="284" spans="1:12" ht="12.75">
      <c r="A284" s="9"/>
      <c r="B284" s="9"/>
      <c r="C284" s="20"/>
      <c r="D284" s="25" t="s">
        <v>585</v>
      </c>
      <c r="E284" s="28"/>
      <c r="F284" s="28"/>
      <c r="G284" s="28"/>
      <c r="H284" s="52">
        <f>H285+H288+H290+H294+H298+H301+H304</f>
        <v>0</v>
      </c>
      <c r="I284" s="52">
        <f>I285+I288+I290+I294+I298+I301+I304</f>
        <v>0</v>
      </c>
      <c r="J284" s="52">
        <f>H284+I284</f>
        <v>0</v>
      </c>
      <c r="K284" s="44"/>
      <c r="L284" s="52">
        <f>L285+L288+L290+L294+L298+L301+L304</f>
        <v>411.38942760000003</v>
      </c>
    </row>
    <row r="285" spans="1:37" ht="12.75">
      <c r="A285" s="9"/>
      <c r="B285" s="9"/>
      <c r="C285" s="20" t="s">
        <v>19</v>
      </c>
      <c r="D285" s="25" t="s">
        <v>529</v>
      </c>
      <c r="E285" s="28"/>
      <c r="F285" s="28"/>
      <c r="G285" s="28"/>
      <c r="H285" s="52">
        <f>SUM(H286:H287)</f>
        <v>0</v>
      </c>
      <c r="I285" s="52">
        <f>SUM(I286:I287)</f>
        <v>0</v>
      </c>
      <c r="J285" s="52">
        <f>H285+I285</f>
        <v>0</v>
      </c>
      <c r="K285" s="44"/>
      <c r="L285" s="52">
        <f>SUM(L286:L287)</f>
        <v>305.505</v>
      </c>
      <c r="P285" s="52">
        <f>IF(Q285="PR",J285,SUM(O286:O287))</f>
        <v>0</v>
      </c>
      <c r="Q285" s="44" t="s">
        <v>641</v>
      </c>
      <c r="R285" s="52">
        <f>IF(Q285="HS",H285,0)</f>
        <v>0</v>
      </c>
      <c r="S285" s="52">
        <f>IF(Q285="HS",I285-P285,0)</f>
        <v>0</v>
      </c>
      <c r="T285" s="52">
        <f>IF(Q285="PS",H285,0)</f>
        <v>0</v>
      </c>
      <c r="U285" s="52">
        <f>IF(Q285="PS",I285-P285,0)</f>
        <v>0</v>
      </c>
      <c r="V285" s="52">
        <f>IF(Q285="MP",H285,0)</f>
        <v>0</v>
      </c>
      <c r="W285" s="52">
        <f>IF(Q285="MP",I285-P285,0)</f>
        <v>0</v>
      </c>
      <c r="X285" s="52">
        <f>IF(Q285="OM",H285,0)</f>
        <v>0</v>
      </c>
      <c r="Y285" s="44" t="s">
        <v>263</v>
      </c>
      <c r="AI285" s="52">
        <f>SUM(Z286:Z287)</f>
        <v>0</v>
      </c>
      <c r="AJ285" s="52">
        <f>SUM(AA286:AA287)</f>
        <v>0</v>
      </c>
      <c r="AK285" s="52">
        <f>SUM(AB286:AB287)</f>
        <v>0</v>
      </c>
    </row>
    <row r="286" spans="1:32" ht="12.75">
      <c r="A286" s="10" t="s">
        <v>223</v>
      </c>
      <c r="B286" s="10" t="s">
        <v>263</v>
      </c>
      <c r="C286" s="10" t="s">
        <v>353</v>
      </c>
      <c r="D286" s="10" t="s">
        <v>530</v>
      </c>
      <c r="E286" s="10" t="s">
        <v>615</v>
      </c>
      <c r="F286" s="30">
        <v>43.425</v>
      </c>
      <c r="H286" s="30">
        <f>ROUND(F286*AE286,2)</f>
        <v>0</v>
      </c>
      <c r="I286" s="30">
        <f>J286-H286</f>
        <v>0</v>
      </c>
      <c r="J286" s="30">
        <f>ROUND(F286*G286,2)</f>
        <v>0</v>
      </c>
      <c r="K286" s="30">
        <v>0</v>
      </c>
      <c r="L286" s="30">
        <f>F286*K286</f>
        <v>0</v>
      </c>
      <c r="N286" s="50" t="s">
        <v>7</v>
      </c>
      <c r="O286" s="30">
        <f>IF(N286="5",I286,0)</f>
        <v>0</v>
      </c>
      <c r="Z286" s="30">
        <f>IF(AD286=0,J286,0)</f>
        <v>0</v>
      </c>
      <c r="AA286" s="30">
        <f>IF(AD286=15,J286,0)</f>
        <v>0</v>
      </c>
      <c r="AB286" s="30">
        <f>IF(AD286=21,J286,0)</f>
        <v>0</v>
      </c>
      <c r="AD286" s="30">
        <v>21</v>
      </c>
      <c r="AE286" s="30">
        <f>G286*0</f>
        <v>0</v>
      </c>
      <c r="AF286" s="30">
        <f>G286*(1-0)</f>
        <v>0</v>
      </c>
    </row>
    <row r="287" spans="1:32" ht="12.75">
      <c r="A287" s="10" t="s">
        <v>224</v>
      </c>
      <c r="B287" s="10" t="s">
        <v>263</v>
      </c>
      <c r="C287" s="10" t="s">
        <v>391</v>
      </c>
      <c r="D287" s="10" t="s">
        <v>575</v>
      </c>
      <c r="E287" s="10" t="s">
        <v>615</v>
      </c>
      <c r="F287" s="30">
        <v>164.25</v>
      </c>
      <c r="H287" s="30">
        <f>ROUND(F287*AE287,2)</f>
        <v>0</v>
      </c>
      <c r="I287" s="30">
        <f>J287-H287</f>
        <v>0</v>
      </c>
      <c r="J287" s="30">
        <f>ROUND(F287*G287,2)</f>
        <v>0</v>
      </c>
      <c r="K287" s="30">
        <v>1.86</v>
      </c>
      <c r="L287" s="30">
        <f>F287*K287</f>
        <v>305.505</v>
      </c>
      <c r="N287" s="50" t="s">
        <v>9</v>
      </c>
      <c r="O287" s="30">
        <f>IF(N287="5",I287,0)</f>
        <v>0</v>
      </c>
      <c r="Z287" s="30">
        <f>IF(AD287=0,J287,0)</f>
        <v>0</v>
      </c>
      <c r="AA287" s="30">
        <f>IF(AD287=15,J287,0)</f>
        <v>0</v>
      </c>
      <c r="AB287" s="30">
        <f>IF(AD287=21,J287,0)</f>
        <v>0</v>
      </c>
      <c r="AD287" s="30">
        <v>21</v>
      </c>
      <c r="AE287" s="30">
        <f>G287*0.0254054647949223</f>
        <v>0</v>
      </c>
      <c r="AF287" s="30">
        <f>G287*(1-0.0254054647949223)</f>
        <v>0</v>
      </c>
    </row>
    <row r="288" spans="1:37" ht="12.75">
      <c r="A288" s="9"/>
      <c r="B288" s="9"/>
      <c r="C288" s="20" t="s">
        <v>20</v>
      </c>
      <c r="D288" s="25" t="s">
        <v>531</v>
      </c>
      <c r="E288" s="28"/>
      <c r="F288" s="28"/>
      <c r="G288" s="28"/>
      <c r="H288" s="52">
        <f>SUM(H289:H289)</f>
        <v>0</v>
      </c>
      <c r="I288" s="52">
        <f>SUM(I289:I289)</f>
        <v>0</v>
      </c>
      <c r="J288" s="52">
        <f>H288+I288</f>
        <v>0</v>
      </c>
      <c r="K288" s="44"/>
      <c r="L288" s="52">
        <f>SUM(L289:L289)</f>
        <v>0.20328</v>
      </c>
      <c r="P288" s="52">
        <f>IF(Q288="PR",J288,SUM(O289:O289))</f>
        <v>0</v>
      </c>
      <c r="Q288" s="44" t="s">
        <v>641</v>
      </c>
      <c r="R288" s="52">
        <f>IF(Q288="HS",H288,0)</f>
        <v>0</v>
      </c>
      <c r="S288" s="52">
        <f>IF(Q288="HS",I288-P288,0)</f>
        <v>0</v>
      </c>
      <c r="T288" s="52">
        <f>IF(Q288="PS",H288,0)</f>
        <v>0</v>
      </c>
      <c r="U288" s="52">
        <f>IF(Q288="PS",I288-P288,0)</f>
        <v>0</v>
      </c>
      <c r="V288" s="52">
        <f>IF(Q288="MP",H288,0)</f>
        <v>0</v>
      </c>
      <c r="W288" s="52">
        <f>IF(Q288="MP",I288-P288,0)</f>
        <v>0</v>
      </c>
      <c r="X288" s="52">
        <f>IF(Q288="OM",H288,0)</f>
        <v>0</v>
      </c>
      <c r="Y288" s="44" t="s">
        <v>263</v>
      </c>
      <c r="AI288" s="52">
        <f>SUM(Z289:Z289)</f>
        <v>0</v>
      </c>
      <c r="AJ288" s="52">
        <f>SUM(AA289:AA289)</f>
        <v>0</v>
      </c>
      <c r="AK288" s="52">
        <f>SUM(AB289:AB289)</f>
        <v>0</v>
      </c>
    </row>
    <row r="289" spans="1:32" ht="12.75">
      <c r="A289" s="10" t="s">
        <v>225</v>
      </c>
      <c r="B289" s="10" t="s">
        <v>263</v>
      </c>
      <c r="C289" s="10" t="s">
        <v>355</v>
      </c>
      <c r="D289" s="10" t="s">
        <v>533</v>
      </c>
      <c r="E289" s="10" t="s">
        <v>616</v>
      </c>
      <c r="F289" s="30">
        <v>28</v>
      </c>
      <c r="H289" s="30">
        <f>ROUND(F289*AE289,2)</f>
        <v>0</v>
      </c>
      <c r="I289" s="30">
        <f>J289-H289</f>
        <v>0</v>
      </c>
      <c r="J289" s="30">
        <f>ROUND(F289*G289,2)</f>
        <v>0</v>
      </c>
      <c r="K289" s="30">
        <v>0.00726</v>
      </c>
      <c r="L289" s="30">
        <f>F289*K289</f>
        <v>0.20328</v>
      </c>
      <c r="N289" s="50" t="s">
        <v>7</v>
      </c>
      <c r="O289" s="30">
        <f>IF(N289="5",I289,0)</f>
        <v>0</v>
      </c>
      <c r="Z289" s="30">
        <f>IF(AD289=0,J289,0)</f>
        <v>0</v>
      </c>
      <c r="AA289" s="30">
        <f>IF(AD289=15,J289,0)</f>
        <v>0</v>
      </c>
      <c r="AB289" s="30">
        <f>IF(AD289=21,J289,0)</f>
        <v>0</v>
      </c>
      <c r="AD289" s="30">
        <v>21</v>
      </c>
      <c r="AE289" s="30">
        <f>G289*0.152389598599313</f>
        <v>0</v>
      </c>
      <c r="AF289" s="30">
        <f>G289*(1-0.152389598599313)</f>
        <v>0</v>
      </c>
    </row>
    <row r="290" spans="1:37" ht="12.75">
      <c r="A290" s="9"/>
      <c r="B290" s="9"/>
      <c r="C290" s="20" t="s">
        <v>22</v>
      </c>
      <c r="D290" s="25" t="s">
        <v>537</v>
      </c>
      <c r="E290" s="28"/>
      <c r="F290" s="28"/>
      <c r="G290" s="28"/>
      <c r="H290" s="52">
        <f>SUM(H291:H293)</f>
        <v>0</v>
      </c>
      <c r="I290" s="52">
        <f>SUM(I291:I293)</f>
        <v>0</v>
      </c>
      <c r="J290" s="52">
        <f>H290+I290</f>
        <v>0</v>
      </c>
      <c r="K290" s="44"/>
      <c r="L290" s="52">
        <f>SUM(L291:L293)</f>
        <v>0</v>
      </c>
      <c r="P290" s="52">
        <f>IF(Q290="PR",J290,SUM(O291:O293))</f>
        <v>0</v>
      </c>
      <c r="Q290" s="44" t="s">
        <v>641</v>
      </c>
      <c r="R290" s="52">
        <f>IF(Q290="HS",H290,0)</f>
        <v>0</v>
      </c>
      <c r="S290" s="52">
        <f>IF(Q290="HS",I290-P290,0)</f>
        <v>0</v>
      </c>
      <c r="T290" s="52">
        <f>IF(Q290="PS",H290,0)</f>
        <v>0</v>
      </c>
      <c r="U290" s="52">
        <f>IF(Q290="PS",I290-P290,0)</f>
        <v>0</v>
      </c>
      <c r="V290" s="52">
        <f>IF(Q290="MP",H290,0)</f>
        <v>0</v>
      </c>
      <c r="W290" s="52">
        <f>IF(Q290="MP",I290-P290,0)</f>
        <v>0</v>
      </c>
      <c r="X290" s="52">
        <f>IF(Q290="OM",H290,0)</f>
        <v>0</v>
      </c>
      <c r="Y290" s="44" t="s">
        <v>263</v>
      </c>
      <c r="AI290" s="52">
        <f>SUM(Z291:Z293)</f>
        <v>0</v>
      </c>
      <c r="AJ290" s="52">
        <f>SUM(AA291:AA293)</f>
        <v>0</v>
      </c>
      <c r="AK290" s="52">
        <f>SUM(AB291:AB293)</f>
        <v>0</v>
      </c>
    </row>
    <row r="291" spans="1:32" ht="12.75">
      <c r="A291" s="10" t="s">
        <v>226</v>
      </c>
      <c r="B291" s="10" t="s">
        <v>263</v>
      </c>
      <c r="C291" s="10" t="s">
        <v>358</v>
      </c>
      <c r="D291" s="10" t="s">
        <v>538</v>
      </c>
      <c r="E291" s="10" t="s">
        <v>615</v>
      </c>
      <c r="F291" s="30">
        <v>164.25</v>
      </c>
      <c r="H291" s="30">
        <f>ROUND(F291*AE291,2)</f>
        <v>0</v>
      </c>
      <c r="I291" s="30">
        <f>J291-H291</f>
        <v>0</v>
      </c>
      <c r="J291" s="30">
        <f>ROUND(F291*G291,2)</f>
        <v>0</v>
      </c>
      <c r="K291" s="30">
        <v>0</v>
      </c>
      <c r="L291" s="30">
        <f>F291*K291</f>
        <v>0</v>
      </c>
      <c r="N291" s="50" t="s">
        <v>7</v>
      </c>
      <c r="O291" s="30">
        <f>IF(N291="5",I291,0)</f>
        <v>0</v>
      </c>
      <c r="Z291" s="30">
        <f>IF(AD291=0,J291,0)</f>
        <v>0</v>
      </c>
      <c r="AA291" s="30">
        <f>IF(AD291=15,J291,0)</f>
        <v>0</v>
      </c>
      <c r="AB291" s="30">
        <f>IF(AD291=21,J291,0)</f>
        <v>0</v>
      </c>
      <c r="AD291" s="30">
        <v>21</v>
      </c>
      <c r="AE291" s="30">
        <f>G291*0</f>
        <v>0</v>
      </c>
      <c r="AF291" s="30">
        <f>G291*(1-0)</f>
        <v>0</v>
      </c>
    </row>
    <row r="292" spans="1:32" ht="12.75">
      <c r="A292" s="10" t="s">
        <v>227</v>
      </c>
      <c r="B292" s="10" t="s">
        <v>263</v>
      </c>
      <c r="C292" s="10" t="s">
        <v>373</v>
      </c>
      <c r="D292" s="10" t="s">
        <v>556</v>
      </c>
      <c r="E292" s="10" t="s">
        <v>615</v>
      </c>
      <c r="F292" s="30">
        <v>114.8</v>
      </c>
      <c r="H292" s="30">
        <f>ROUND(F292*AE292,2)</f>
        <v>0</v>
      </c>
      <c r="I292" s="30">
        <f>J292-H292</f>
        <v>0</v>
      </c>
      <c r="J292" s="30">
        <f>ROUND(F292*G292,2)</f>
        <v>0</v>
      </c>
      <c r="K292" s="30">
        <v>0</v>
      </c>
      <c r="L292" s="30">
        <f>F292*K292</f>
        <v>0</v>
      </c>
      <c r="N292" s="50" t="s">
        <v>7</v>
      </c>
      <c r="O292" s="30">
        <f>IF(N292="5",I292,0)</f>
        <v>0</v>
      </c>
      <c r="Z292" s="30">
        <f>IF(AD292=0,J292,0)</f>
        <v>0</v>
      </c>
      <c r="AA292" s="30">
        <f>IF(AD292=15,J292,0)</f>
        <v>0</v>
      </c>
      <c r="AB292" s="30">
        <f>IF(AD292=21,J292,0)</f>
        <v>0</v>
      </c>
      <c r="AD292" s="30">
        <v>21</v>
      </c>
      <c r="AE292" s="30">
        <f>G292*0</f>
        <v>0</v>
      </c>
      <c r="AF292" s="30">
        <f>G292*(1-0)</f>
        <v>0</v>
      </c>
    </row>
    <row r="293" spans="1:32" ht="12.75">
      <c r="A293" s="10" t="s">
        <v>228</v>
      </c>
      <c r="B293" s="10" t="s">
        <v>263</v>
      </c>
      <c r="C293" s="10" t="s">
        <v>359</v>
      </c>
      <c r="D293" s="10" t="s">
        <v>539</v>
      </c>
      <c r="E293" s="10" t="s">
        <v>615</v>
      </c>
      <c r="F293" s="30">
        <v>89.9</v>
      </c>
      <c r="H293" s="30">
        <f>ROUND(F293*AE293,2)</f>
        <v>0</v>
      </c>
      <c r="I293" s="30">
        <f>J293-H293</f>
        <v>0</v>
      </c>
      <c r="J293" s="30">
        <f>ROUND(F293*G293,2)</f>
        <v>0</v>
      </c>
      <c r="K293" s="30">
        <v>0</v>
      </c>
      <c r="L293" s="30">
        <f>F293*K293</f>
        <v>0</v>
      </c>
      <c r="N293" s="50" t="s">
        <v>7</v>
      </c>
      <c r="O293" s="30">
        <f>IF(N293="5",I293,0)</f>
        <v>0</v>
      </c>
      <c r="Z293" s="30">
        <f>IF(AD293=0,J293,0)</f>
        <v>0</v>
      </c>
      <c r="AA293" s="30">
        <f>IF(AD293=15,J293,0)</f>
        <v>0</v>
      </c>
      <c r="AB293" s="30">
        <f>IF(AD293=21,J293,0)</f>
        <v>0</v>
      </c>
      <c r="AD293" s="30">
        <v>21</v>
      </c>
      <c r="AE293" s="30">
        <f>G293*0</f>
        <v>0</v>
      </c>
      <c r="AF293" s="30">
        <f>G293*(1-0)</f>
        <v>0</v>
      </c>
    </row>
    <row r="294" spans="1:37" ht="12.75">
      <c r="A294" s="9"/>
      <c r="B294" s="9"/>
      <c r="C294" s="20" t="s">
        <v>23</v>
      </c>
      <c r="D294" s="25" t="s">
        <v>540</v>
      </c>
      <c r="E294" s="28"/>
      <c r="F294" s="28"/>
      <c r="G294" s="28"/>
      <c r="H294" s="52">
        <f>SUM(H295:H297)</f>
        <v>0</v>
      </c>
      <c r="I294" s="52">
        <f>SUM(I295:I297)</f>
        <v>0</v>
      </c>
      <c r="J294" s="52">
        <f>H294+I294</f>
        <v>0</v>
      </c>
      <c r="K294" s="44"/>
      <c r="L294" s="52">
        <f>SUM(L295:L297)</f>
        <v>0</v>
      </c>
      <c r="P294" s="52">
        <f>IF(Q294="PR",J294,SUM(O295:O297))</f>
        <v>0</v>
      </c>
      <c r="Q294" s="44" t="s">
        <v>641</v>
      </c>
      <c r="R294" s="52">
        <f>IF(Q294="HS",H294,0)</f>
        <v>0</v>
      </c>
      <c r="S294" s="52">
        <f>IF(Q294="HS",I294-P294,0)</f>
        <v>0</v>
      </c>
      <c r="T294" s="52">
        <f>IF(Q294="PS",H294,0)</f>
        <v>0</v>
      </c>
      <c r="U294" s="52">
        <f>IF(Q294="PS",I294-P294,0)</f>
        <v>0</v>
      </c>
      <c r="V294" s="52">
        <f>IF(Q294="MP",H294,0)</f>
        <v>0</v>
      </c>
      <c r="W294" s="52">
        <f>IF(Q294="MP",I294-P294,0)</f>
        <v>0</v>
      </c>
      <c r="X294" s="52">
        <f>IF(Q294="OM",H294,0)</f>
        <v>0</v>
      </c>
      <c r="Y294" s="44" t="s">
        <v>263</v>
      </c>
      <c r="AI294" s="52">
        <f>SUM(Z295:Z297)</f>
        <v>0</v>
      </c>
      <c r="AJ294" s="52">
        <f>SUM(AA295:AA297)</f>
        <v>0</v>
      </c>
      <c r="AK294" s="52">
        <f>SUM(AB295:AB297)</f>
        <v>0</v>
      </c>
    </row>
    <row r="295" spans="1:32" ht="12.75">
      <c r="A295" s="10" t="s">
        <v>229</v>
      </c>
      <c r="B295" s="10" t="s">
        <v>263</v>
      </c>
      <c r="C295" s="10" t="s">
        <v>280</v>
      </c>
      <c r="D295" s="10" t="s">
        <v>440</v>
      </c>
      <c r="E295" s="10" t="s">
        <v>615</v>
      </c>
      <c r="F295" s="30">
        <v>89.9</v>
      </c>
      <c r="H295" s="30">
        <f>ROUND(F295*AE295,2)</f>
        <v>0</v>
      </c>
      <c r="I295" s="30">
        <f>J295-H295</f>
        <v>0</v>
      </c>
      <c r="J295" s="30">
        <f>ROUND(F295*G295,2)</f>
        <v>0</v>
      </c>
      <c r="K295" s="30">
        <v>0</v>
      </c>
      <c r="L295" s="30">
        <f>F295*K295</f>
        <v>0</v>
      </c>
      <c r="N295" s="50" t="s">
        <v>7</v>
      </c>
      <c r="O295" s="30">
        <f>IF(N295="5",I295,0)</f>
        <v>0</v>
      </c>
      <c r="Z295" s="30">
        <f>IF(AD295=0,J295,0)</f>
        <v>0</v>
      </c>
      <c r="AA295" s="30">
        <f>IF(AD295=15,J295,0)</f>
        <v>0</v>
      </c>
      <c r="AB295" s="30">
        <f>IF(AD295=21,J295,0)</f>
        <v>0</v>
      </c>
      <c r="AD295" s="30">
        <v>21</v>
      </c>
      <c r="AE295" s="30">
        <f>G295*0</f>
        <v>0</v>
      </c>
      <c r="AF295" s="30">
        <f>G295*(1-0)</f>
        <v>0</v>
      </c>
    </row>
    <row r="296" spans="1:32" ht="12.75">
      <c r="A296" s="10" t="s">
        <v>230</v>
      </c>
      <c r="B296" s="10" t="s">
        <v>263</v>
      </c>
      <c r="C296" s="10" t="s">
        <v>360</v>
      </c>
      <c r="D296" s="10" t="s">
        <v>541</v>
      </c>
      <c r="E296" s="10" t="s">
        <v>615</v>
      </c>
      <c r="F296" s="30">
        <v>114.8</v>
      </c>
      <c r="H296" s="30">
        <f>ROUND(F296*AE296,2)</f>
        <v>0</v>
      </c>
      <c r="I296" s="30">
        <f>J296-H296</f>
        <v>0</v>
      </c>
      <c r="J296" s="30">
        <f>ROUND(F296*G296,2)</f>
        <v>0</v>
      </c>
      <c r="K296" s="30">
        <v>0</v>
      </c>
      <c r="L296" s="30">
        <f>F296*K296</f>
        <v>0</v>
      </c>
      <c r="N296" s="50" t="s">
        <v>7</v>
      </c>
      <c r="O296" s="30">
        <f>IF(N296="5",I296,0)</f>
        <v>0</v>
      </c>
      <c r="Z296" s="30">
        <f>IF(AD296=0,J296,0)</f>
        <v>0</v>
      </c>
      <c r="AA296" s="30">
        <f>IF(AD296=15,J296,0)</f>
        <v>0</v>
      </c>
      <c r="AB296" s="30">
        <f>IF(AD296=21,J296,0)</f>
        <v>0</v>
      </c>
      <c r="AD296" s="30">
        <v>21</v>
      </c>
      <c r="AE296" s="30">
        <f>G296*0</f>
        <v>0</v>
      </c>
      <c r="AF296" s="30">
        <f>G296*(1-0)</f>
        <v>0</v>
      </c>
    </row>
    <row r="297" spans="1:32" ht="12.75">
      <c r="A297" s="10" t="s">
        <v>231</v>
      </c>
      <c r="B297" s="10" t="s">
        <v>263</v>
      </c>
      <c r="C297" s="10" t="s">
        <v>361</v>
      </c>
      <c r="D297" s="10" t="s">
        <v>542</v>
      </c>
      <c r="E297" s="10" t="s">
        <v>615</v>
      </c>
      <c r="F297" s="30">
        <v>114.8</v>
      </c>
      <c r="H297" s="30">
        <f>ROUND(F297*AE297,2)</f>
        <v>0</v>
      </c>
      <c r="I297" s="30">
        <f>J297-H297</f>
        <v>0</v>
      </c>
      <c r="J297" s="30">
        <f>ROUND(F297*G297,2)</f>
        <v>0</v>
      </c>
      <c r="K297" s="30">
        <v>0</v>
      </c>
      <c r="L297" s="30">
        <f>F297*K297</f>
        <v>0</v>
      </c>
      <c r="N297" s="50" t="s">
        <v>7</v>
      </c>
      <c r="O297" s="30">
        <f>IF(N297="5",I297,0)</f>
        <v>0</v>
      </c>
      <c r="Z297" s="30">
        <f>IF(AD297=0,J297,0)</f>
        <v>0</v>
      </c>
      <c r="AA297" s="30">
        <f>IF(AD297=15,J297,0)</f>
        <v>0</v>
      </c>
      <c r="AB297" s="30">
        <f>IF(AD297=21,J297,0)</f>
        <v>0</v>
      </c>
      <c r="AD297" s="30">
        <v>21</v>
      </c>
      <c r="AE297" s="30">
        <f>G297*0</f>
        <v>0</v>
      </c>
      <c r="AF297" s="30">
        <f>G297*(1-0)</f>
        <v>0</v>
      </c>
    </row>
    <row r="298" spans="1:37" ht="12.75">
      <c r="A298" s="9"/>
      <c r="B298" s="9"/>
      <c r="C298" s="20" t="s">
        <v>51</v>
      </c>
      <c r="D298" s="25" t="s">
        <v>543</v>
      </c>
      <c r="E298" s="28"/>
      <c r="F298" s="28"/>
      <c r="G298" s="28"/>
      <c r="H298" s="52">
        <f>SUM(H299:H300)</f>
        <v>0</v>
      </c>
      <c r="I298" s="52">
        <f>SUM(I299:I300)</f>
        <v>0</v>
      </c>
      <c r="J298" s="52">
        <f>H298+I298</f>
        <v>0</v>
      </c>
      <c r="K298" s="44"/>
      <c r="L298" s="52">
        <f>SUM(L299:L300)</f>
        <v>41.3700476</v>
      </c>
      <c r="P298" s="52">
        <f>IF(Q298="PR",J298,SUM(O299:O300))</f>
        <v>0</v>
      </c>
      <c r="Q298" s="44" t="s">
        <v>641</v>
      </c>
      <c r="R298" s="52">
        <f>IF(Q298="HS",H298,0)</f>
        <v>0</v>
      </c>
      <c r="S298" s="52">
        <f>IF(Q298="HS",I298-P298,0)</f>
        <v>0</v>
      </c>
      <c r="T298" s="52">
        <f>IF(Q298="PS",H298,0)</f>
        <v>0</v>
      </c>
      <c r="U298" s="52">
        <f>IF(Q298="PS",I298-P298,0)</f>
        <v>0</v>
      </c>
      <c r="V298" s="52">
        <f>IF(Q298="MP",H298,0)</f>
        <v>0</v>
      </c>
      <c r="W298" s="52">
        <f>IF(Q298="MP",I298-P298,0)</f>
        <v>0</v>
      </c>
      <c r="X298" s="52">
        <f>IF(Q298="OM",H298,0)</f>
        <v>0</v>
      </c>
      <c r="Y298" s="44" t="s">
        <v>263</v>
      </c>
      <c r="AI298" s="52">
        <f>SUM(Z299:Z300)</f>
        <v>0</v>
      </c>
      <c r="AJ298" s="52">
        <f>SUM(AA299:AA300)</f>
        <v>0</v>
      </c>
      <c r="AK298" s="52">
        <f>SUM(AB299:AB300)</f>
        <v>0</v>
      </c>
    </row>
    <row r="299" spans="1:32" ht="12.75">
      <c r="A299" s="10" t="s">
        <v>232</v>
      </c>
      <c r="B299" s="10" t="s">
        <v>263</v>
      </c>
      <c r="C299" s="10" t="s">
        <v>362</v>
      </c>
      <c r="D299" s="10" t="s">
        <v>544</v>
      </c>
      <c r="E299" s="10" t="s">
        <v>615</v>
      </c>
      <c r="F299" s="30">
        <v>21.88</v>
      </c>
      <c r="H299" s="30">
        <f>ROUND(F299*AE299,2)</f>
        <v>0</v>
      </c>
      <c r="I299" s="30">
        <f>J299-H299</f>
        <v>0</v>
      </c>
      <c r="J299" s="30">
        <f>ROUND(F299*G299,2)</f>
        <v>0</v>
      </c>
      <c r="K299" s="30">
        <v>1.89077</v>
      </c>
      <c r="L299" s="30">
        <f>F299*K299</f>
        <v>41.3700476</v>
      </c>
      <c r="N299" s="50" t="s">
        <v>7</v>
      </c>
      <c r="O299" s="30">
        <f>IF(N299="5",I299,0)</f>
        <v>0</v>
      </c>
      <c r="Z299" s="30">
        <f>IF(AD299=0,J299,0)</f>
        <v>0</v>
      </c>
      <c r="AA299" s="30">
        <f>IF(AD299=15,J299,0)</f>
        <v>0</v>
      </c>
      <c r="AB299" s="30">
        <f>IF(AD299=21,J299,0)</f>
        <v>0</v>
      </c>
      <c r="AD299" s="30">
        <v>21</v>
      </c>
      <c r="AE299" s="30">
        <f>G299*0.648748447813868</f>
        <v>0</v>
      </c>
      <c r="AF299" s="30">
        <f>G299*(1-0.648748447813868)</f>
        <v>0</v>
      </c>
    </row>
    <row r="300" spans="1:32" ht="12.75">
      <c r="A300" s="10" t="s">
        <v>233</v>
      </c>
      <c r="B300" s="10" t="s">
        <v>263</v>
      </c>
      <c r="C300" s="10" t="s">
        <v>363</v>
      </c>
      <c r="D300" s="10" t="s">
        <v>545</v>
      </c>
      <c r="E300" s="10" t="s">
        <v>615</v>
      </c>
      <c r="F300" s="30">
        <v>64.32</v>
      </c>
      <c r="H300" s="30">
        <f>ROUND(F300*AE300,2)</f>
        <v>0</v>
      </c>
      <c r="I300" s="30">
        <f>J300-H300</f>
        <v>0</v>
      </c>
      <c r="J300" s="30">
        <f>ROUND(F300*G300,2)</f>
        <v>0</v>
      </c>
      <c r="K300" s="30">
        <v>0</v>
      </c>
      <c r="L300" s="30">
        <f>F300*K300</f>
        <v>0</v>
      </c>
      <c r="N300" s="50" t="s">
        <v>7</v>
      </c>
      <c r="O300" s="30">
        <f>IF(N300="5",I300,0)</f>
        <v>0</v>
      </c>
      <c r="Z300" s="30">
        <f>IF(AD300=0,J300,0)</f>
        <v>0</v>
      </c>
      <c r="AA300" s="30">
        <f>IF(AD300=15,J300,0)</f>
        <v>0</v>
      </c>
      <c r="AB300" s="30">
        <f>IF(AD300=21,J300,0)</f>
        <v>0</v>
      </c>
      <c r="AD300" s="30">
        <v>21</v>
      </c>
      <c r="AE300" s="30">
        <f>G300*0</f>
        <v>0</v>
      </c>
      <c r="AF300" s="30">
        <f>G300*(1-0)</f>
        <v>0</v>
      </c>
    </row>
    <row r="301" spans="1:37" ht="12.75">
      <c r="A301" s="9"/>
      <c r="B301" s="9"/>
      <c r="C301" s="20" t="s">
        <v>93</v>
      </c>
      <c r="D301" s="25" t="s">
        <v>546</v>
      </c>
      <c r="E301" s="28"/>
      <c r="F301" s="28"/>
      <c r="G301" s="28"/>
      <c r="H301" s="52">
        <f>SUM(H302:H303)</f>
        <v>0</v>
      </c>
      <c r="I301" s="52">
        <f>SUM(I302:I303)</f>
        <v>0</v>
      </c>
      <c r="J301" s="52">
        <f>H301+I301</f>
        <v>0</v>
      </c>
      <c r="K301" s="44"/>
      <c r="L301" s="52">
        <f>SUM(L302:L303)</f>
        <v>0.0011</v>
      </c>
      <c r="P301" s="52">
        <f>IF(Q301="PR",J301,SUM(O302:O303))</f>
        <v>0</v>
      </c>
      <c r="Q301" s="44" t="s">
        <v>641</v>
      </c>
      <c r="R301" s="52">
        <f>IF(Q301="HS",H301,0)</f>
        <v>0</v>
      </c>
      <c r="S301" s="52">
        <f>IF(Q301="HS",I301-P301,0)</f>
        <v>0</v>
      </c>
      <c r="T301" s="52">
        <f>IF(Q301="PS",H301,0)</f>
        <v>0</v>
      </c>
      <c r="U301" s="52">
        <f>IF(Q301="PS",I301-P301,0)</f>
        <v>0</v>
      </c>
      <c r="V301" s="52">
        <f>IF(Q301="MP",H301,0)</f>
        <v>0</v>
      </c>
      <c r="W301" s="52">
        <f>IF(Q301="MP",I301-P301,0)</f>
        <v>0</v>
      </c>
      <c r="X301" s="52">
        <f>IF(Q301="OM",H301,0)</f>
        <v>0</v>
      </c>
      <c r="Y301" s="44" t="s">
        <v>263</v>
      </c>
      <c r="AI301" s="52">
        <f>SUM(Z302:Z303)</f>
        <v>0</v>
      </c>
      <c r="AJ301" s="52">
        <f>SUM(AA302:AA303)</f>
        <v>0</v>
      </c>
      <c r="AK301" s="52">
        <f>SUM(AB302:AB303)</f>
        <v>0</v>
      </c>
    </row>
    <row r="302" spans="1:32" ht="12.75">
      <c r="A302" s="10" t="s">
        <v>234</v>
      </c>
      <c r="B302" s="10" t="s">
        <v>263</v>
      </c>
      <c r="C302" s="10" t="s">
        <v>364</v>
      </c>
      <c r="D302" s="10" t="s">
        <v>577</v>
      </c>
      <c r="E302" s="10" t="s">
        <v>614</v>
      </c>
      <c r="F302" s="30">
        <v>41.37</v>
      </c>
      <c r="H302" s="30">
        <f>ROUND(F302*AE302,2)</f>
        <v>0</v>
      </c>
      <c r="I302" s="30">
        <f>J302-H302</f>
        <v>0</v>
      </c>
      <c r="J302" s="30">
        <f>ROUND(F302*G302,2)</f>
        <v>0</v>
      </c>
      <c r="K302" s="30">
        <v>0</v>
      </c>
      <c r="L302" s="30">
        <f>F302*K302</f>
        <v>0</v>
      </c>
      <c r="N302" s="50" t="s">
        <v>11</v>
      </c>
      <c r="O302" s="30">
        <f>IF(N302="5",I302,0)</f>
        <v>0</v>
      </c>
      <c r="Z302" s="30">
        <f>IF(AD302=0,J302,0)</f>
        <v>0</v>
      </c>
      <c r="AA302" s="30">
        <f>IF(AD302=15,J302,0)</f>
        <v>0</v>
      </c>
      <c r="AB302" s="30">
        <f>IF(AD302=21,J302,0)</f>
        <v>0</v>
      </c>
      <c r="AD302" s="30">
        <v>21</v>
      </c>
      <c r="AE302" s="30">
        <f>G302*0</f>
        <v>0</v>
      </c>
      <c r="AF302" s="30">
        <f>G302*(1-0)</f>
        <v>0</v>
      </c>
    </row>
    <row r="303" spans="1:32" ht="12.75">
      <c r="A303" s="10" t="s">
        <v>235</v>
      </c>
      <c r="B303" s="10" t="s">
        <v>263</v>
      </c>
      <c r="C303" s="10" t="s">
        <v>365</v>
      </c>
      <c r="D303" s="10" t="s">
        <v>548</v>
      </c>
      <c r="E303" s="10" t="s">
        <v>616</v>
      </c>
      <c r="F303" s="30">
        <v>110</v>
      </c>
      <c r="H303" s="30">
        <f>ROUND(F303*AE303,2)</f>
        <v>0</v>
      </c>
      <c r="I303" s="30">
        <f>J303-H303</f>
        <v>0</v>
      </c>
      <c r="J303" s="30">
        <f>ROUND(F303*G303,2)</f>
        <v>0</v>
      </c>
      <c r="K303" s="30">
        <v>1E-05</v>
      </c>
      <c r="L303" s="30">
        <f>F303*K303</f>
        <v>0.0011</v>
      </c>
      <c r="N303" s="50" t="s">
        <v>7</v>
      </c>
      <c r="O303" s="30">
        <f>IF(N303="5",I303,0)</f>
        <v>0</v>
      </c>
      <c r="Z303" s="30">
        <f>IF(AD303=0,J303,0)</f>
        <v>0</v>
      </c>
      <c r="AA303" s="30">
        <f>IF(AD303=15,J303,0)</f>
        <v>0</v>
      </c>
      <c r="AB303" s="30">
        <f>IF(AD303=21,J303,0)</f>
        <v>0</v>
      </c>
      <c r="AD303" s="30">
        <v>21</v>
      </c>
      <c r="AE303" s="30">
        <f>G303*0.00357719824601892</f>
        <v>0</v>
      </c>
      <c r="AF303" s="30">
        <f>G303*(1-0.00357719824601892)</f>
        <v>0</v>
      </c>
    </row>
    <row r="304" spans="1:37" ht="12.75">
      <c r="A304" s="9"/>
      <c r="B304" s="9"/>
      <c r="C304" s="20"/>
      <c r="D304" s="25" t="s">
        <v>487</v>
      </c>
      <c r="E304" s="28"/>
      <c r="F304" s="28"/>
      <c r="G304" s="28"/>
      <c r="H304" s="52">
        <f>SUM(H305:H306)</f>
        <v>0</v>
      </c>
      <c r="I304" s="52">
        <f>SUM(I305:I306)</f>
        <v>0</v>
      </c>
      <c r="J304" s="52">
        <f>H304+I304</f>
        <v>0</v>
      </c>
      <c r="K304" s="44"/>
      <c r="L304" s="52">
        <f>SUM(L305:L306)</f>
        <v>64.31</v>
      </c>
      <c r="P304" s="52">
        <f>IF(Q304="PR",J304,SUM(O305:O306))</f>
        <v>0</v>
      </c>
      <c r="Q304" s="44" t="s">
        <v>643</v>
      </c>
      <c r="R304" s="52">
        <f>IF(Q304="HS",H304,0)</f>
        <v>0</v>
      </c>
      <c r="S304" s="52">
        <f>IF(Q304="HS",I304-P304,0)</f>
        <v>0</v>
      </c>
      <c r="T304" s="52">
        <f>IF(Q304="PS",H304,0)</f>
        <v>0</v>
      </c>
      <c r="U304" s="52">
        <f>IF(Q304="PS",I304-P304,0)</f>
        <v>0</v>
      </c>
      <c r="V304" s="52">
        <f>IF(Q304="MP",H304,0)</f>
        <v>0</v>
      </c>
      <c r="W304" s="52">
        <f>IF(Q304="MP",I304-P304,0)</f>
        <v>0</v>
      </c>
      <c r="X304" s="52">
        <f>IF(Q304="OM",H304,0)</f>
        <v>0</v>
      </c>
      <c r="Y304" s="44" t="s">
        <v>263</v>
      </c>
      <c r="AI304" s="52">
        <f>SUM(Z305:Z306)</f>
        <v>0</v>
      </c>
      <c r="AJ304" s="52">
        <f>SUM(AA305:AA306)</f>
        <v>0</v>
      </c>
      <c r="AK304" s="52">
        <f>SUM(AB305:AB306)</f>
        <v>0</v>
      </c>
    </row>
    <row r="305" spans="1:32" ht="12.75">
      <c r="A305" s="10" t="s">
        <v>236</v>
      </c>
      <c r="B305" s="10" t="s">
        <v>263</v>
      </c>
      <c r="C305" s="10" t="s">
        <v>375</v>
      </c>
      <c r="D305" s="10" t="s">
        <v>558</v>
      </c>
      <c r="E305" s="10" t="s">
        <v>616</v>
      </c>
      <c r="F305" s="30">
        <v>110</v>
      </c>
      <c r="H305" s="30">
        <f>ROUND(F305*AE305,2)</f>
        <v>0</v>
      </c>
      <c r="I305" s="30">
        <f>J305-H305</f>
        <v>0</v>
      </c>
      <c r="J305" s="30">
        <f>ROUND(F305*G305,2)</f>
        <v>0</v>
      </c>
      <c r="K305" s="30">
        <v>0</v>
      </c>
      <c r="L305" s="30">
        <f>F305*K305</f>
        <v>0</v>
      </c>
      <c r="N305" s="50" t="s">
        <v>266</v>
      </c>
      <c r="O305" s="30">
        <f>IF(N305="5",I305,0)</f>
        <v>0</v>
      </c>
      <c r="Z305" s="30">
        <f>IF(AD305=0,J305,0)</f>
        <v>0</v>
      </c>
      <c r="AA305" s="30">
        <f>IF(AD305=15,J305,0)</f>
        <v>0</v>
      </c>
      <c r="AB305" s="30">
        <f>IF(AD305=21,J305,0)</f>
        <v>0</v>
      </c>
      <c r="AD305" s="30">
        <v>21</v>
      </c>
      <c r="AE305" s="30">
        <f>G305*1</f>
        <v>0</v>
      </c>
      <c r="AF305" s="30">
        <f>G305*(1-1)</f>
        <v>0</v>
      </c>
    </row>
    <row r="306" spans="1:32" ht="12.75">
      <c r="A306" s="10" t="s">
        <v>237</v>
      </c>
      <c r="B306" s="10" t="s">
        <v>263</v>
      </c>
      <c r="C306" s="10" t="s">
        <v>377</v>
      </c>
      <c r="D306" s="10" t="s">
        <v>560</v>
      </c>
      <c r="E306" s="10" t="s">
        <v>620</v>
      </c>
      <c r="F306" s="30">
        <v>64.31</v>
      </c>
      <c r="H306" s="30">
        <f>ROUND(F306*AE306,2)</f>
        <v>0</v>
      </c>
      <c r="I306" s="30">
        <f>J306-H306</f>
        <v>0</v>
      </c>
      <c r="J306" s="30">
        <f>ROUND(F306*G306,2)</f>
        <v>0</v>
      </c>
      <c r="K306" s="30">
        <v>1</v>
      </c>
      <c r="L306" s="30">
        <f>F306*K306</f>
        <v>64.31</v>
      </c>
      <c r="N306" s="50" t="s">
        <v>266</v>
      </c>
      <c r="O306" s="30">
        <f>IF(N306="5",I306,0)</f>
        <v>0</v>
      </c>
      <c r="Z306" s="30">
        <f>IF(AD306=0,J306,0)</f>
        <v>0</v>
      </c>
      <c r="AA306" s="30">
        <f>IF(AD306=15,J306,0)</f>
        <v>0</v>
      </c>
      <c r="AB306" s="30">
        <f>IF(AD306=21,J306,0)</f>
        <v>0</v>
      </c>
      <c r="AD306" s="30">
        <v>21</v>
      </c>
      <c r="AE306" s="30">
        <f>G306*1</f>
        <v>0</v>
      </c>
      <c r="AF306" s="30">
        <f>G306*(1-1)</f>
        <v>0</v>
      </c>
    </row>
    <row r="307" spans="1:12" ht="12.75">
      <c r="A307" s="9"/>
      <c r="B307" s="9"/>
      <c r="C307" s="20"/>
      <c r="D307" s="25" t="s">
        <v>586</v>
      </c>
      <c r="E307" s="28"/>
      <c r="F307" s="28"/>
      <c r="G307" s="28"/>
      <c r="H307" s="52">
        <f>H308+H311+H314+H317+H319+H321+H330</f>
        <v>0</v>
      </c>
      <c r="I307" s="52">
        <f>I308+I311+I314+I317+I319+I321+I330</f>
        <v>0</v>
      </c>
      <c r="J307" s="52">
        <f>H307+I307</f>
        <v>0</v>
      </c>
      <c r="K307" s="44"/>
      <c r="L307" s="52">
        <f>L308+L311+L314+L317+L319+L321+L330</f>
        <v>3.5928242000000004</v>
      </c>
    </row>
    <row r="308" spans="1:37" ht="12.75">
      <c r="A308" s="9"/>
      <c r="B308" s="9"/>
      <c r="C308" s="20" t="s">
        <v>266</v>
      </c>
      <c r="D308" s="25" t="s">
        <v>424</v>
      </c>
      <c r="E308" s="28"/>
      <c r="F308" s="28"/>
      <c r="G308" s="28"/>
      <c r="H308" s="52">
        <f>SUM(H309:H310)</f>
        <v>0</v>
      </c>
      <c r="I308" s="52">
        <f>SUM(I309:I310)</f>
        <v>0</v>
      </c>
      <c r="J308" s="52">
        <f>H308+I308</f>
        <v>0</v>
      </c>
      <c r="K308" s="44"/>
      <c r="L308" s="52">
        <f>SUM(L309:L310)</f>
        <v>0</v>
      </c>
      <c r="P308" s="52">
        <f>IF(Q308="PR",J308,SUM(O309:O310))</f>
        <v>0</v>
      </c>
      <c r="Q308" s="44" t="s">
        <v>641</v>
      </c>
      <c r="R308" s="52">
        <f>IF(Q308="HS",H308,0)</f>
        <v>0</v>
      </c>
      <c r="S308" s="52">
        <f>IF(Q308="HS",I308-P308,0)</f>
        <v>0</v>
      </c>
      <c r="T308" s="52">
        <f>IF(Q308="PS",H308,0)</f>
        <v>0</v>
      </c>
      <c r="U308" s="52">
        <f>IF(Q308="PS",I308-P308,0)</f>
        <v>0</v>
      </c>
      <c r="V308" s="52">
        <f>IF(Q308="MP",H308,0)</f>
        <v>0</v>
      </c>
      <c r="W308" s="52">
        <f>IF(Q308="MP",I308-P308,0)</f>
        <v>0</v>
      </c>
      <c r="X308" s="52">
        <f>IF(Q308="OM",H308,0)</f>
        <v>0</v>
      </c>
      <c r="Y308" s="44" t="s">
        <v>264</v>
      </c>
      <c r="AI308" s="52">
        <f>SUM(Z309:Z310)</f>
        <v>0</v>
      </c>
      <c r="AJ308" s="52">
        <f>SUM(AA309:AA310)</f>
        <v>0</v>
      </c>
      <c r="AK308" s="52">
        <f>SUM(AB309:AB310)</f>
        <v>0</v>
      </c>
    </row>
    <row r="309" spans="1:32" ht="12.75">
      <c r="A309" s="10" t="s">
        <v>238</v>
      </c>
      <c r="B309" s="10" t="s">
        <v>264</v>
      </c>
      <c r="C309" s="10" t="s">
        <v>267</v>
      </c>
      <c r="D309" s="10" t="s">
        <v>425</v>
      </c>
      <c r="E309" s="10" t="s">
        <v>611</v>
      </c>
      <c r="F309" s="30">
        <v>1</v>
      </c>
      <c r="H309" s="30">
        <f>ROUND(F309*AE309,2)</f>
        <v>0</v>
      </c>
      <c r="I309" s="30">
        <f>J309-H309</f>
        <v>0</v>
      </c>
      <c r="J309" s="30">
        <f>ROUND(F309*G309,2)</f>
        <v>0</v>
      </c>
      <c r="K309" s="30">
        <v>0</v>
      </c>
      <c r="L309" s="30">
        <f>F309*K309</f>
        <v>0</v>
      </c>
      <c r="N309" s="50" t="s">
        <v>7</v>
      </c>
      <c r="O309" s="30">
        <f>IF(N309="5",I309,0)</f>
        <v>0</v>
      </c>
      <c r="Z309" s="30">
        <f>IF(AD309=0,J309,0)</f>
        <v>0</v>
      </c>
      <c r="AA309" s="30">
        <f>IF(AD309=15,J309,0)</f>
        <v>0</v>
      </c>
      <c r="AB309" s="30">
        <f>IF(AD309=21,J309,0)</f>
        <v>0</v>
      </c>
      <c r="AD309" s="30">
        <v>21</v>
      </c>
      <c r="AE309" s="30">
        <f>G309*0</f>
        <v>0</v>
      </c>
      <c r="AF309" s="30">
        <f>G309*(1-0)</f>
        <v>0</v>
      </c>
    </row>
    <row r="310" spans="1:32" ht="12.75">
      <c r="A310" s="10" t="s">
        <v>239</v>
      </c>
      <c r="B310" s="10" t="s">
        <v>264</v>
      </c>
      <c r="C310" s="10" t="s">
        <v>400</v>
      </c>
      <c r="D310" s="10" t="s">
        <v>587</v>
      </c>
      <c r="E310" s="10" t="s">
        <v>623</v>
      </c>
      <c r="F310" s="30">
        <v>3</v>
      </c>
      <c r="H310" s="30">
        <f>ROUND(F310*AE310,2)</f>
        <v>0</v>
      </c>
      <c r="I310" s="30">
        <f>J310-H310</f>
        <v>0</v>
      </c>
      <c r="J310" s="30">
        <f>ROUND(F310*G310,2)</f>
        <v>0</v>
      </c>
      <c r="K310" s="30">
        <v>0</v>
      </c>
      <c r="L310" s="30">
        <f>F310*K310</f>
        <v>0</v>
      </c>
      <c r="N310" s="50" t="s">
        <v>7</v>
      </c>
      <c r="O310" s="30">
        <f>IF(N310="5",I310,0)</f>
        <v>0</v>
      </c>
      <c r="Z310" s="30">
        <f>IF(AD310=0,J310,0)</f>
        <v>0</v>
      </c>
      <c r="AA310" s="30">
        <f>IF(AD310=15,J310,0)</f>
        <v>0</v>
      </c>
      <c r="AB310" s="30">
        <f>IF(AD310=21,J310,0)</f>
        <v>0</v>
      </c>
      <c r="AD310" s="30">
        <v>21</v>
      </c>
      <c r="AE310" s="30">
        <f>G310*0</f>
        <v>0</v>
      </c>
      <c r="AF310" s="30">
        <f>G310*(1-0)</f>
        <v>0</v>
      </c>
    </row>
    <row r="311" spans="1:37" ht="12.75">
      <c r="A311" s="9"/>
      <c r="B311" s="9"/>
      <c r="C311" s="20" t="s">
        <v>19</v>
      </c>
      <c r="D311" s="25" t="s">
        <v>529</v>
      </c>
      <c r="E311" s="28"/>
      <c r="F311" s="28"/>
      <c r="G311" s="28"/>
      <c r="H311" s="52">
        <f>SUM(H312:H313)</f>
        <v>0</v>
      </c>
      <c r="I311" s="52">
        <f>SUM(I312:I313)</f>
        <v>0</v>
      </c>
      <c r="J311" s="52">
        <f>H311+I311</f>
        <v>0</v>
      </c>
      <c r="K311" s="44"/>
      <c r="L311" s="52">
        <f>SUM(L312:L313)</f>
        <v>0.00025600000000000004</v>
      </c>
      <c r="P311" s="52">
        <f>IF(Q311="PR",J311,SUM(O312:O313))</f>
        <v>0</v>
      </c>
      <c r="Q311" s="44" t="s">
        <v>641</v>
      </c>
      <c r="R311" s="52">
        <f>IF(Q311="HS",H311,0)</f>
        <v>0</v>
      </c>
      <c r="S311" s="52">
        <f>IF(Q311="HS",I311-P311,0)</f>
        <v>0</v>
      </c>
      <c r="T311" s="52">
        <f>IF(Q311="PS",H311,0)</f>
        <v>0</v>
      </c>
      <c r="U311" s="52">
        <f>IF(Q311="PS",I311-P311,0)</f>
        <v>0</v>
      </c>
      <c r="V311" s="52">
        <f>IF(Q311="MP",H311,0)</f>
        <v>0</v>
      </c>
      <c r="W311" s="52">
        <f>IF(Q311="MP",I311-P311,0)</f>
        <v>0</v>
      </c>
      <c r="X311" s="52">
        <f>IF(Q311="OM",H311,0)</f>
        <v>0</v>
      </c>
      <c r="Y311" s="44" t="s">
        <v>264</v>
      </c>
      <c r="AI311" s="52">
        <f>SUM(Z312:Z313)</f>
        <v>0</v>
      </c>
      <c r="AJ311" s="52">
        <f>SUM(AA312:AA313)</f>
        <v>0</v>
      </c>
      <c r="AK311" s="52">
        <f>SUM(AB312:AB313)</f>
        <v>0</v>
      </c>
    </row>
    <row r="312" spans="1:32" ht="12.75">
      <c r="A312" s="10" t="s">
        <v>240</v>
      </c>
      <c r="B312" s="10" t="s">
        <v>264</v>
      </c>
      <c r="C312" s="10" t="s">
        <v>401</v>
      </c>
      <c r="D312" s="10" t="s">
        <v>588</v>
      </c>
      <c r="E312" s="10" t="s">
        <v>615</v>
      </c>
      <c r="F312" s="30">
        <v>1.28</v>
      </c>
      <c r="H312" s="30">
        <f>ROUND(F312*AE312,2)</f>
        <v>0</v>
      </c>
      <c r="I312" s="30">
        <f>J312-H312</f>
        <v>0</v>
      </c>
      <c r="J312" s="30">
        <f>ROUND(F312*G312,2)</f>
        <v>0</v>
      </c>
      <c r="K312" s="30">
        <v>0</v>
      </c>
      <c r="L312" s="30">
        <f>F312*K312</f>
        <v>0</v>
      </c>
      <c r="N312" s="50" t="s">
        <v>7</v>
      </c>
      <c r="O312" s="30">
        <f>IF(N312="5",I312,0)</f>
        <v>0</v>
      </c>
      <c r="Z312" s="30">
        <f>IF(AD312=0,J312,0)</f>
        <v>0</v>
      </c>
      <c r="AA312" s="30">
        <f>IF(AD312=15,J312,0)</f>
        <v>0</v>
      </c>
      <c r="AB312" s="30">
        <f>IF(AD312=21,J312,0)</f>
        <v>0</v>
      </c>
      <c r="AD312" s="30">
        <v>21</v>
      </c>
      <c r="AE312" s="30">
        <f>G312*0</f>
        <v>0</v>
      </c>
      <c r="AF312" s="30">
        <f>G312*(1-0)</f>
        <v>0</v>
      </c>
    </row>
    <row r="313" spans="1:32" ht="12.75">
      <c r="A313" s="10" t="s">
        <v>241</v>
      </c>
      <c r="B313" s="10" t="s">
        <v>264</v>
      </c>
      <c r="C313" s="10" t="s">
        <v>402</v>
      </c>
      <c r="D313" s="10" t="s">
        <v>532</v>
      </c>
      <c r="E313" s="10" t="s">
        <v>615</v>
      </c>
      <c r="F313" s="30">
        <v>1.28</v>
      </c>
      <c r="H313" s="30">
        <f>ROUND(F313*AE313,2)</f>
        <v>0</v>
      </c>
      <c r="I313" s="30">
        <f>J313-H313</f>
        <v>0</v>
      </c>
      <c r="J313" s="30">
        <f>ROUND(F313*G313,2)</f>
        <v>0</v>
      </c>
      <c r="K313" s="30">
        <v>0.0002</v>
      </c>
      <c r="L313" s="30">
        <f>F313*K313</f>
        <v>0.00025600000000000004</v>
      </c>
      <c r="N313" s="50" t="s">
        <v>9</v>
      </c>
      <c r="O313" s="30">
        <f>IF(N313="5",I313,0)</f>
        <v>0</v>
      </c>
      <c r="Z313" s="30">
        <f>IF(AD313=0,J313,0)</f>
        <v>0</v>
      </c>
      <c r="AA313" s="30">
        <f>IF(AD313=15,J313,0)</f>
        <v>0</v>
      </c>
      <c r="AB313" s="30">
        <f>IF(AD313=21,J313,0)</f>
        <v>0</v>
      </c>
      <c r="AD313" s="30">
        <v>21</v>
      </c>
      <c r="AE313" s="30">
        <f>G313*0.0057916358003906</f>
        <v>0</v>
      </c>
      <c r="AF313" s="30">
        <f>G313*(1-0.0057916358003906)</f>
        <v>0</v>
      </c>
    </row>
    <row r="314" spans="1:37" ht="12.75">
      <c r="A314" s="9"/>
      <c r="B314" s="9"/>
      <c r="C314" s="20" t="s">
        <v>20</v>
      </c>
      <c r="D314" s="25" t="s">
        <v>531</v>
      </c>
      <c r="E314" s="28"/>
      <c r="F314" s="28"/>
      <c r="G314" s="28"/>
      <c r="H314" s="52">
        <f>SUM(H315:H316)</f>
        <v>0</v>
      </c>
      <c r="I314" s="52">
        <f>SUM(I315:I316)</f>
        <v>0</v>
      </c>
      <c r="J314" s="52">
        <f>H314+I314</f>
        <v>0</v>
      </c>
      <c r="K314" s="44"/>
      <c r="L314" s="52">
        <f>SUM(L315:L316)</f>
        <v>0.11928</v>
      </c>
      <c r="P314" s="52">
        <f>IF(Q314="PR",J314,SUM(O315:O316))</f>
        <v>0</v>
      </c>
      <c r="Q314" s="44" t="s">
        <v>641</v>
      </c>
      <c r="R314" s="52">
        <f>IF(Q314="HS",H314,0)</f>
        <v>0</v>
      </c>
      <c r="S314" s="52">
        <f>IF(Q314="HS",I314-P314,0)</f>
        <v>0</v>
      </c>
      <c r="T314" s="52">
        <f>IF(Q314="PS",H314,0)</f>
        <v>0</v>
      </c>
      <c r="U314" s="52">
        <f>IF(Q314="PS",I314-P314,0)</f>
        <v>0</v>
      </c>
      <c r="V314" s="52">
        <f>IF(Q314="MP",H314,0)</f>
        <v>0</v>
      </c>
      <c r="W314" s="52">
        <f>IF(Q314="MP",I314-P314,0)</f>
        <v>0</v>
      </c>
      <c r="X314" s="52">
        <f>IF(Q314="OM",H314,0)</f>
        <v>0</v>
      </c>
      <c r="Y314" s="44" t="s">
        <v>264</v>
      </c>
      <c r="AI314" s="52">
        <f>SUM(Z315:Z316)</f>
        <v>0</v>
      </c>
      <c r="AJ314" s="52">
        <f>SUM(AA315:AA316)</f>
        <v>0</v>
      </c>
      <c r="AK314" s="52">
        <f>SUM(AB315:AB316)</f>
        <v>0</v>
      </c>
    </row>
    <row r="315" spans="1:32" ht="12.75">
      <c r="A315" s="10" t="s">
        <v>242</v>
      </c>
      <c r="B315" s="10" t="s">
        <v>264</v>
      </c>
      <c r="C315" s="10" t="s">
        <v>403</v>
      </c>
      <c r="D315" s="10" t="s">
        <v>589</v>
      </c>
      <c r="E315" s="10" t="s">
        <v>616</v>
      </c>
      <c r="F315" s="30">
        <v>12</v>
      </c>
      <c r="H315" s="30">
        <f>ROUND(F315*AE315,2)</f>
        <v>0</v>
      </c>
      <c r="I315" s="30">
        <f>J315-H315</f>
        <v>0</v>
      </c>
      <c r="J315" s="30">
        <f>ROUND(F315*G315,2)</f>
        <v>0</v>
      </c>
      <c r="K315" s="30">
        <v>0.00726</v>
      </c>
      <c r="L315" s="30">
        <f>F315*K315</f>
        <v>0.08712</v>
      </c>
      <c r="N315" s="50" t="s">
        <v>7</v>
      </c>
      <c r="O315" s="30">
        <f>IF(N315="5",I315,0)</f>
        <v>0</v>
      </c>
      <c r="Z315" s="30">
        <f>IF(AD315=0,J315,0)</f>
        <v>0</v>
      </c>
      <c r="AA315" s="30">
        <f>IF(AD315=15,J315,0)</f>
        <v>0</v>
      </c>
      <c r="AB315" s="30">
        <f>IF(AD315=21,J315,0)</f>
        <v>0</v>
      </c>
      <c r="AD315" s="30">
        <v>21</v>
      </c>
      <c r="AE315" s="30">
        <f>G315*0.094958114365992</f>
        <v>0</v>
      </c>
      <c r="AF315" s="30">
        <f>G315*(1-0.094958114365992)</f>
        <v>0</v>
      </c>
    </row>
    <row r="316" spans="1:32" ht="12.75">
      <c r="A316" s="10" t="s">
        <v>243</v>
      </c>
      <c r="B316" s="10" t="s">
        <v>264</v>
      </c>
      <c r="C316" s="10" t="s">
        <v>404</v>
      </c>
      <c r="D316" s="10" t="s">
        <v>590</v>
      </c>
      <c r="E316" s="10" t="s">
        <v>616</v>
      </c>
      <c r="F316" s="30">
        <v>12</v>
      </c>
      <c r="H316" s="30">
        <f>ROUND(F316*AE316,2)</f>
        <v>0</v>
      </c>
      <c r="I316" s="30">
        <f>J316-H316</f>
        <v>0</v>
      </c>
      <c r="J316" s="30">
        <f>ROUND(F316*G316,2)</f>
        <v>0</v>
      </c>
      <c r="K316" s="30">
        <v>0.00268</v>
      </c>
      <c r="L316" s="30">
        <f>F316*K316</f>
        <v>0.03216</v>
      </c>
      <c r="N316" s="50" t="s">
        <v>266</v>
      </c>
      <c r="O316" s="30">
        <f>IF(N316="5",I316,0)</f>
        <v>0</v>
      </c>
      <c r="Z316" s="30">
        <f>IF(AD316=0,J316,0)</f>
        <v>0</v>
      </c>
      <c r="AA316" s="30">
        <f>IF(AD316=15,J316,0)</f>
        <v>0</v>
      </c>
      <c r="AB316" s="30">
        <f>IF(AD316=21,J316,0)</f>
        <v>0</v>
      </c>
      <c r="AD316" s="30">
        <v>21</v>
      </c>
      <c r="AE316" s="30">
        <f>G316*1</f>
        <v>0</v>
      </c>
      <c r="AF316" s="30">
        <f>G316*(1-1)</f>
        <v>0</v>
      </c>
    </row>
    <row r="317" spans="1:37" ht="12.75">
      <c r="A317" s="9"/>
      <c r="B317" s="9"/>
      <c r="C317" s="20" t="s">
        <v>33</v>
      </c>
      <c r="D317" s="25" t="s">
        <v>591</v>
      </c>
      <c r="E317" s="28"/>
      <c r="F317" s="28"/>
      <c r="G317" s="28"/>
      <c r="H317" s="52">
        <f>SUM(H318:H318)</f>
        <v>0</v>
      </c>
      <c r="I317" s="52">
        <f>SUM(I318:I318)</f>
        <v>0</v>
      </c>
      <c r="J317" s="52">
        <f>H317+I317</f>
        <v>0</v>
      </c>
      <c r="K317" s="44"/>
      <c r="L317" s="52">
        <f>SUM(L318:L318)</f>
        <v>3.1679232</v>
      </c>
      <c r="P317" s="52">
        <f>IF(Q317="PR",J317,SUM(O318:O318))</f>
        <v>0</v>
      </c>
      <c r="Q317" s="44" t="s">
        <v>641</v>
      </c>
      <c r="R317" s="52">
        <f>IF(Q317="HS",H317,0)</f>
        <v>0</v>
      </c>
      <c r="S317" s="52">
        <f>IF(Q317="HS",I317-P317,0)</f>
        <v>0</v>
      </c>
      <c r="T317" s="52">
        <f>IF(Q317="PS",H317,0)</f>
        <v>0</v>
      </c>
      <c r="U317" s="52">
        <f>IF(Q317="PS",I317-P317,0)</f>
        <v>0</v>
      </c>
      <c r="V317" s="52">
        <f>IF(Q317="MP",H317,0)</f>
        <v>0</v>
      </c>
      <c r="W317" s="52">
        <f>IF(Q317="MP",I317-P317,0)</f>
        <v>0</v>
      </c>
      <c r="X317" s="52">
        <f>IF(Q317="OM",H317,0)</f>
        <v>0</v>
      </c>
      <c r="Y317" s="44" t="s">
        <v>264</v>
      </c>
      <c r="AI317" s="52">
        <f>SUM(Z318:Z318)</f>
        <v>0</v>
      </c>
      <c r="AJ317" s="52">
        <f>SUM(AA318:AA318)</f>
        <v>0</v>
      </c>
      <c r="AK317" s="52">
        <f>SUM(AB318:AB318)</f>
        <v>0</v>
      </c>
    </row>
    <row r="318" spans="1:32" ht="12.75">
      <c r="A318" s="10" t="s">
        <v>244</v>
      </c>
      <c r="B318" s="10" t="s">
        <v>264</v>
      </c>
      <c r="C318" s="10" t="s">
        <v>405</v>
      </c>
      <c r="D318" s="10" t="s">
        <v>592</v>
      </c>
      <c r="E318" s="10" t="s">
        <v>615</v>
      </c>
      <c r="F318" s="30">
        <v>1.28</v>
      </c>
      <c r="H318" s="30">
        <f>ROUND(F318*AE318,2)</f>
        <v>0</v>
      </c>
      <c r="I318" s="30">
        <f>J318-H318</f>
        <v>0</v>
      </c>
      <c r="J318" s="30">
        <f>ROUND(F318*G318,2)</f>
        <v>0</v>
      </c>
      <c r="K318" s="30">
        <v>2.47494</v>
      </c>
      <c r="L318" s="30">
        <f>F318*K318</f>
        <v>3.1679232</v>
      </c>
      <c r="N318" s="50" t="s">
        <v>7</v>
      </c>
      <c r="O318" s="30">
        <f>IF(N318="5",I318,0)</f>
        <v>0</v>
      </c>
      <c r="Z318" s="30">
        <f>IF(AD318=0,J318,0)</f>
        <v>0</v>
      </c>
      <c r="AA318" s="30">
        <f>IF(AD318=15,J318,0)</f>
        <v>0</v>
      </c>
      <c r="AB318" s="30">
        <f>IF(AD318=21,J318,0)</f>
        <v>0</v>
      </c>
      <c r="AD318" s="30">
        <v>21</v>
      </c>
      <c r="AE318" s="30">
        <f>G318*0.951372648096114</f>
        <v>0</v>
      </c>
      <c r="AF318" s="30">
        <f>G318*(1-0.951372648096114)</f>
        <v>0</v>
      </c>
    </row>
    <row r="319" spans="1:37" ht="12.75">
      <c r="A319" s="9"/>
      <c r="B319" s="9"/>
      <c r="C319" s="20" t="s">
        <v>406</v>
      </c>
      <c r="D319" s="25" t="s">
        <v>593</v>
      </c>
      <c r="E319" s="28"/>
      <c r="F319" s="28"/>
      <c r="G319" s="28"/>
      <c r="H319" s="52">
        <f>SUM(H320:H320)</f>
        <v>0</v>
      </c>
      <c r="I319" s="52">
        <f>SUM(I320:I320)</f>
        <v>0</v>
      </c>
      <c r="J319" s="52">
        <f>H319+I319</f>
        <v>0</v>
      </c>
      <c r="K319" s="44"/>
      <c r="L319" s="52">
        <f>SUM(L320:L320)</f>
        <v>0</v>
      </c>
      <c r="P319" s="52">
        <f>IF(Q319="PR",J319,SUM(O320:O320))</f>
        <v>0</v>
      </c>
      <c r="Q319" s="44" t="s">
        <v>642</v>
      </c>
      <c r="R319" s="52">
        <f>IF(Q319="HS",H319,0)</f>
        <v>0</v>
      </c>
      <c r="S319" s="52">
        <f>IF(Q319="HS",I319-P319,0)</f>
        <v>0</v>
      </c>
      <c r="T319" s="52">
        <f>IF(Q319="PS",H319,0)</f>
        <v>0</v>
      </c>
      <c r="U319" s="52">
        <f>IF(Q319="PS",I319-P319,0)</f>
        <v>0</v>
      </c>
      <c r="V319" s="52">
        <f>IF(Q319="MP",H319,0)</f>
        <v>0</v>
      </c>
      <c r="W319" s="52">
        <f>IF(Q319="MP",I319-P319,0)</f>
        <v>0</v>
      </c>
      <c r="X319" s="52">
        <f>IF(Q319="OM",H319,0)</f>
        <v>0</v>
      </c>
      <c r="Y319" s="44" t="s">
        <v>264</v>
      </c>
      <c r="AI319" s="52">
        <f>SUM(Z320:Z320)</f>
        <v>0</v>
      </c>
      <c r="AJ319" s="52">
        <f>SUM(AA320:AA320)</f>
        <v>0</v>
      </c>
      <c r="AK319" s="52">
        <f>SUM(AB320:AB320)</f>
        <v>0</v>
      </c>
    </row>
    <row r="320" spans="1:32" ht="12.75">
      <c r="A320" s="10" t="s">
        <v>245</v>
      </c>
      <c r="B320" s="10" t="s">
        <v>264</v>
      </c>
      <c r="C320" s="10" t="s">
        <v>407</v>
      </c>
      <c r="D320" s="10" t="s">
        <v>594</v>
      </c>
      <c r="E320" s="10" t="s">
        <v>619</v>
      </c>
      <c r="F320" s="30">
        <v>709.45</v>
      </c>
      <c r="H320" s="30">
        <f>ROUND(F320*AE320,2)</f>
        <v>0</v>
      </c>
      <c r="I320" s="30">
        <f>J320-H320</f>
        <v>0</v>
      </c>
      <c r="J320" s="30">
        <f>ROUND(F320*G320,2)</f>
        <v>0</v>
      </c>
      <c r="K320" s="30">
        <v>0</v>
      </c>
      <c r="L320" s="30">
        <f>F320*K320</f>
        <v>0</v>
      </c>
      <c r="N320" s="50" t="s">
        <v>8</v>
      </c>
      <c r="O320" s="30">
        <f>IF(N320="5",I320,0)</f>
        <v>0</v>
      </c>
      <c r="Z320" s="30">
        <f>IF(AD320=0,J320,0)</f>
        <v>0</v>
      </c>
      <c r="AA320" s="30">
        <f>IF(AD320=15,J320,0)</f>
        <v>0</v>
      </c>
      <c r="AB320" s="30">
        <f>IF(AD320=21,J320,0)</f>
        <v>0</v>
      </c>
      <c r="AD320" s="30">
        <v>21</v>
      </c>
      <c r="AE320" s="30">
        <f>G320*0</f>
        <v>0</v>
      </c>
      <c r="AF320" s="30">
        <f>G320*(1-0)</f>
        <v>0</v>
      </c>
    </row>
    <row r="321" spans="1:37" ht="12.75">
      <c r="A321" s="9"/>
      <c r="B321" s="9"/>
      <c r="C321" s="20" t="s">
        <v>350</v>
      </c>
      <c r="D321" s="25" t="s">
        <v>524</v>
      </c>
      <c r="E321" s="28"/>
      <c r="F321" s="28"/>
      <c r="G321" s="28"/>
      <c r="H321" s="52">
        <f>SUM(H322:H329)</f>
        <v>0</v>
      </c>
      <c r="I321" s="52">
        <f>SUM(I322:I329)</f>
        <v>0</v>
      </c>
      <c r="J321" s="52">
        <f>H321+I321</f>
        <v>0</v>
      </c>
      <c r="K321" s="44"/>
      <c r="L321" s="52">
        <f>SUM(L322:L329)</f>
        <v>0.027365</v>
      </c>
      <c r="P321" s="52">
        <f>IF(Q321="PR",J321,SUM(O322:O329))</f>
        <v>0</v>
      </c>
      <c r="Q321" s="44" t="s">
        <v>642</v>
      </c>
      <c r="R321" s="52">
        <f>IF(Q321="HS",H321,0)</f>
        <v>0</v>
      </c>
      <c r="S321" s="52">
        <f>IF(Q321="HS",I321-P321,0)</f>
        <v>0</v>
      </c>
      <c r="T321" s="52">
        <f>IF(Q321="PS",H321,0)</f>
        <v>0</v>
      </c>
      <c r="U321" s="52">
        <f>IF(Q321="PS",I321-P321,0)</f>
        <v>0</v>
      </c>
      <c r="V321" s="52">
        <f>IF(Q321="MP",H321,0)</f>
        <v>0</v>
      </c>
      <c r="W321" s="52">
        <f>IF(Q321="MP",I321-P321,0)</f>
        <v>0</v>
      </c>
      <c r="X321" s="52">
        <f>IF(Q321="OM",H321,0)</f>
        <v>0</v>
      </c>
      <c r="Y321" s="44" t="s">
        <v>264</v>
      </c>
      <c r="AI321" s="52">
        <f>SUM(Z322:Z329)</f>
        <v>0</v>
      </c>
      <c r="AJ321" s="52">
        <f>SUM(AA322:AA329)</f>
        <v>0</v>
      </c>
      <c r="AK321" s="52">
        <f>SUM(AB322:AB329)</f>
        <v>0</v>
      </c>
    </row>
    <row r="322" spans="1:32" ht="12.75">
      <c r="A322" s="10" t="s">
        <v>246</v>
      </c>
      <c r="B322" s="10" t="s">
        <v>264</v>
      </c>
      <c r="C322" s="10" t="s">
        <v>408</v>
      </c>
      <c r="D322" s="10" t="s">
        <v>595</v>
      </c>
      <c r="E322" s="10" t="s">
        <v>616</v>
      </c>
      <c r="F322" s="30">
        <v>20.5</v>
      </c>
      <c r="H322" s="30">
        <f aca="true" t="shared" si="106" ref="H322:H329">ROUND(F322*AE322,2)</f>
        <v>0</v>
      </c>
      <c r="I322" s="30">
        <f aca="true" t="shared" si="107" ref="I322:I329">J322-H322</f>
        <v>0</v>
      </c>
      <c r="J322" s="30">
        <f aca="true" t="shared" si="108" ref="J322:J329">ROUND(F322*G322,2)</f>
        <v>0</v>
      </c>
      <c r="K322" s="30">
        <v>0</v>
      </c>
      <c r="L322" s="30">
        <f aca="true" t="shared" si="109" ref="L322:L329">F322*K322</f>
        <v>0</v>
      </c>
      <c r="N322" s="50" t="s">
        <v>8</v>
      </c>
      <c r="O322" s="30">
        <f aca="true" t="shared" si="110" ref="O322:O329">IF(N322="5",I322,0)</f>
        <v>0</v>
      </c>
      <c r="Z322" s="30">
        <f aca="true" t="shared" si="111" ref="Z322:Z329">IF(AD322=0,J322,0)</f>
        <v>0</v>
      </c>
      <c r="AA322" s="30">
        <f aca="true" t="shared" si="112" ref="AA322:AA329">IF(AD322=15,J322,0)</f>
        <v>0</v>
      </c>
      <c r="AB322" s="30">
        <f aca="true" t="shared" si="113" ref="AB322:AB329">IF(AD322=21,J322,0)</f>
        <v>0</v>
      </c>
      <c r="AD322" s="30">
        <v>21</v>
      </c>
      <c r="AE322" s="30">
        <f>G322*0</f>
        <v>0</v>
      </c>
      <c r="AF322" s="30">
        <f>G322*(1-0)</f>
        <v>0</v>
      </c>
    </row>
    <row r="323" spans="1:32" ht="12.75">
      <c r="A323" s="10" t="s">
        <v>247</v>
      </c>
      <c r="B323" s="10" t="s">
        <v>264</v>
      </c>
      <c r="C323" s="10" t="s">
        <v>409</v>
      </c>
      <c r="D323" s="10" t="s">
        <v>596</v>
      </c>
      <c r="E323" s="10" t="s">
        <v>616</v>
      </c>
      <c r="F323" s="30">
        <v>20.5</v>
      </c>
      <c r="H323" s="30">
        <f t="shared" si="106"/>
        <v>0</v>
      </c>
      <c r="I323" s="30">
        <f t="shared" si="107"/>
        <v>0</v>
      </c>
      <c r="J323" s="30">
        <f t="shared" si="108"/>
        <v>0</v>
      </c>
      <c r="K323" s="30">
        <v>0.00073</v>
      </c>
      <c r="L323" s="30">
        <f t="shared" si="109"/>
        <v>0.014965</v>
      </c>
      <c r="N323" s="50" t="s">
        <v>266</v>
      </c>
      <c r="O323" s="30">
        <f t="shared" si="110"/>
        <v>0</v>
      </c>
      <c r="Z323" s="30">
        <f t="shared" si="111"/>
        <v>0</v>
      </c>
      <c r="AA323" s="30">
        <f t="shared" si="112"/>
        <v>0</v>
      </c>
      <c r="AB323" s="30">
        <f t="shared" si="113"/>
        <v>0</v>
      </c>
      <c r="AD323" s="30">
        <v>21</v>
      </c>
      <c r="AE323" s="30">
        <f>G323*1</f>
        <v>0</v>
      </c>
      <c r="AF323" s="30">
        <f>G323*(1-1)</f>
        <v>0</v>
      </c>
    </row>
    <row r="324" spans="1:32" ht="12.75">
      <c r="A324" s="10" t="s">
        <v>248</v>
      </c>
      <c r="B324" s="10" t="s">
        <v>264</v>
      </c>
      <c r="C324" s="10" t="s">
        <v>410</v>
      </c>
      <c r="D324" s="10" t="s">
        <v>597</v>
      </c>
      <c r="E324" s="10" t="s">
        <v>616</v>
      </c>
      <c r="F324" s="30">
        <v>20.5</v>
      </c>
      <c r="H324" s="30">
        <f t="shared" si="106"/>
        <v>0</v>
      </c>
      <c r="I324" s="30">
        <f t="shared" si="107"/>
        <v>0</v>
      </c>
      <c r="J324" s="30">
        <f t="shared" si="108"/>
        <v>0</v>
      </c>
      <c r="K324" s="30">
        <v>0</v>
      </c>
      <c r="L324" s="30">
        <f t="shared" si="109"/>
        <v>0</v>
      </c>
      <c r="N324" s="50" t="s">
        <v>8</v>
      </c>
      <c r="O324" s="30">
        <f t="shared" si="110"/>
        <v>0</v>
      </c>
      <c r="Z324" s="30">
        <f t="shared" si="111"/>
        <v>0</v>
      </c>
      <c r="AA324" s="30">
        <f t="shared" si="112"/>
        <v>0</v>
      </c>
      <c r="AB324" s="30">
        <f t="shared" si="113"/>
        <v>0</v>
      </c>
      <c r="AD324" s="30">
        <v>21</v>
      </c>
      <c r="AE324" s="30">
        <f>G324*0.0142082149315422</f>
        <v>0</v>
      </c>
      <c r="AF324" s="30">
        <f>G324*(1-0.0142082149315422)</f>
        <v>0</v>
      </c>
    </row>
    <row r="325" spans="1:32" ht="12.75">
      <c r="A325" s="10" t="s">
        <v>249</v>
      </c>
      <c r="B325" s="10" t="s">
        <v>264</v>
      </c>
      <c r="C325" s="10" t="s">
        <v>411</v>
      </c>
      <c r="D325" s="10" t="s">
        <v>598</v>
      </c>
      <c r="E325" s="10" t="s">
        <v>613</v>
      </c>
      <c r="F325" s="30">
        <v>2</v>
      </c>
      <c r="H325" s="30">
        <f t="shared" si="106"/>
        <v>0</v>
      </c>
      <c r="I325" s="30">
        <f t="shared" si="107"/>
        <v>0</v>
      </c>
      <c r="J325" s="30">
        <f t="shared" si="108"/>
        <v>0</v>
      </c>
      <c r="K325" s="30">
        <v>0.00012</v>
      </c>
      <c r="L325" s="30">
        <f t="shared" si="109"/>
        <v>0.00024</v>
      </c>
      <c r="N325" s="50" t="s">
        <v>8</v>
      </c>
      <c r="O325" s="30">
        <f t="shared" si="110"/>
        <v>0</v>
      </c>
      <c r="Z325" s="30">
        <f t="shared" si="111"/>
        <v>0</v>
      </c>
      <c r="AA325" s="30">
        <f t="shared" si="112"/>
        <v>0</v>
      </c>
      <c r="AB325" s="30">
        <f t="shared" si="113"/>
        <v>0</v>
      </c>
      <c r="AD325" s="30">
        <v>21</v>
      </c>
      <c r="AE325" s="30">
        <f>G325*0.181478754732857</f>
        <v>0</v>
      </c>
      <c r="AF325" s="30">
        <f>G325*(1-0.181478754732857)</f>
        <v>0</v>
      </c>
    </row>
    <row r="326" spans="1:32" ht="12.75">
      <c r="A326" s="10" t="s">
        <v>250</v>
      </c>
      <c r="B326" s="10" t="s">
        <v>264</v>
      </c>
      <c r="C326" s="10" t="s">
        <v>412</v>
      </c>
      <c r="D326" s="10" t="s">
        <v>599</v>
      </c>
      <c r="E326" s="10" t="s">
        <v>613</v>
      </c>
      <c r="F326" s="30">
        <v>2</v>
      </c>
      <c r="H326" s="30">
        <f t="shared" si="106"/>
        <v>0</v>
      </c>
      <c r="I326" s="30">
        <f t="shared" si="107"/>
        <v>0</v>
      </c>
      <c r="J326" s="30">
        <f t="shared" si="108"/>
        <v>0</v>
      </c>
      <c r="K326" s="30">
        <v>0</v>
      </c>
      <c r="L326" s="30">
        <f t="shared" si="109"/>
        <v>0</v>
      </c>
      <c r="N326" s="50" t="s">
        <v>8</v>
      </c>
      <c r="O326" s="30">
        <f t="shared" si="110"/>
        <v>0</v>
      </c>
      <c r="Z326" s="30">
        <f t="shared" si="111"/>
        <v>0</v>
      </c>
      <c r="AA326" s="30">
        <f t="shared" si="112"/>
        <v>0</v>
      </c>
      <c r="AB326" s="30">
        <f t="shared" si="113"/>
        <v>0</v>
      </c>
      <c r="AD326" s="30">
        <v>21</v>
      </c>
      <c r="AE326" s="30">
        <f>G326*0</f>
        <v>0</v>
      </c>
      <c r="AF326" s="30">
        <f>G326*(1-0)</f>
        <v>0</v>
      </c>
    </row>
    <row r="327" spans="1:32" ht="12.75">
      <c r="A327" s="10" t="s">
        <v>251</v>
      </c>
      <c r="B327" s="10" t="s">
        <v>264</v>
      </c>
      <c r="C327" s="10" t="s">
        <v>413</v>
      </c>
      <c r="D327" s="10" t="s">
        <v>600</v>
      </c>
      <c r="E327" s="10" t="s">
        <v>613</v>
      </c>
      <c r="F327" s="30">
        <v>2</v>
      </c>
      <c r="H327" s="30">
        <f t="shared" si="106"/>
        <v>0</v>
      </c>
      <c r="I327" s="30">
        <f t="shared" si="107"/>
        <v>0</v>
      </c>
      <c r="J327" s="30">
        <f t="shared" si="108"/>
        <v>0</v>
      </c>
      <c r="K327" s="30">
        <v>0</v>
      </c>
      <c r="L327" s="30">
        <f t="shared" si="109"/>
        <v>0</v>
      </c>
      <c r="N327" s="50" t="s">
        <v>8</v>
      </c>
      <c r="O327" s="30">
        <f t="shared" si="110"/>
        <v>0</v>
      </c>
      <c r="Z327" s="30">
        <f t="shared" si="111"/>
        <v>0</v>
      </c>
      <c r="AA327" s="30">
        <f t="shared" si="112"/>
        <v>0</v>
      </c>
      <c r="AB327" s="30">
        <f t="shared" si="113"/>
        <v>0</v>
      </c>
      <c r="AD327" s="30">
        <v>21</v>
      </c>
      <c r="AE327" s="30">
        <f>G327*0</f>
        <v>0</v>
      </c>
      <c r="AF327" s="30">
        <f>G327*(1-0)</f>
        <v>0</v>
      </c>
    </row>
    <row r="328" spans="1:32" ht="12.75">
      <c r="A328" s="10" t="s">
        <v>252</v>
      </c>
      <c r="B328" s="10" t="s">
        <v>264</v>
      </c>
      <c r="C328" s="10" t="s">
        <v>414</v>
      </c>
      <c r="D328" s="10" t="s">
        <v>601</v>
      </c>
      <c r="E328" s="10" t="s">
        <v>611</v>
      </c>
      <c r="F328" s="30">
        <v>1</v>
      </c>
      <c r="H328" s="30">
        <f t="shared" si="106"/>
        <v>0</v>
      </c>
      <c r="I328" s="30">
        <f t="shared" si="107"/>
        <v>0</v>
      </c>
      <c r="J328" s="30">
        <f t="shared" si="108"/>
        <v>0</v>
      </c>
      <c r="K328" s="30">
        <v>0</v>
      </c>
      <c r="L328" s="30">
        <f t="shared" si="109"/>
        <v>0</v>
      </c>
      <c r="N328" s="50" t="s">
        <v>8</v>
      </c>
      <c r="O328" s="30">
        <f t="shared" si="110"/>
        <v>0</v>
      </c>
      <c r="Z328" s="30">
        <f t="shared" si="111"/>
        <v>0</v>
      </c>
      <c r="AA328" s="30">
        <f t="shared" si="112"/>
        <v>0</v>
      </c>
      <c r="AB328" s="30">
        <f t="shared" si="113"/>
        <v>0</v>
      </c>
      <c r="AD328" s="30">
        <v>21</v>
      </c>
      <c r="AE328" s="30">
        <f>G328*0</f>
        <v>0</v>
      </c>
      <c r="AF328" s="30">
        <f>G328*(1-0)</f>
        <v>0</v>
      </c>
    </row>
    <row r="329" spans="1:32" ht="12.75">
      <c r="A329" s="10" t="s">
        <v>253</v>
      </c>
      <c r="B329" s="10" t="s">
        <v>264</v>
      </c>
      <c r="C329" s="10" t="s">
        <v>415</v>
      </c>
      <c r="D329" s="10" t="s">
        <v>602</v>
      </c>
      <c r="E329" s="10" t="s">
        <v>616</v>
      </c>
      <c r="F329" s="30">
        <v>32</v>
      </c>
      <c r="H329" s="30">
        <f t="shared" si="106"/>
        <v>0</v>
      </c>
      <c r="I329" s="30">
        <f t="shared" si="107"/>
        <v>0</v>
      </c>
      <c r="J329" s="30">
        <f t="shared" si="108"/>
        <v>0</v>
      </c>
      <c r="K329" s="30">
        <v>0.00038</v>
      </c>
      <c r="L329" s="30">
        <f t="shared" si="109"/>
        <v>0.01216</v>
      </c>
      <c r="N329" s="50" t="s">
        <v>8</v>
      </c>
      <c r="O329" s="30">
        <f t="shared" si="110"/>
        <v>0</v>
      </c>
      <c r="Z329" s="30">
        <f t="shared" si="111"/>
        <v>0</v>
      </c>
      <c r="AA329" s="30">
        <f t="shared" si="112"/>
        <v>0</v>
      </c>
      <c r="AB329" s="30">
        <f t="shared" si="113"/>
        <v>0</v>
      </c>
      <c r="AD329" s="30">
        <v>21</v>
      </c>
      <c r="AE329" s="30">
        <f>G329*0.476971504307488</f>
        <v>0</v>
      </c>
      <c r="AF329" s="30">
        <f>G329*(1-0.476971504307488)</f>
        <v>0</v>
      </c>
    </row>
    <row r="330" spans="1:37" ht="12.75">
      <c r="A330" s="9"/>
      <c r="B330" s="9"/>
      <c r="C330" s="20"/>
      <c r="D330" s="25" t="s">
        <v>487</v>
      </c>
      <c r="E330" s="28"/>
      <c r="F330" s="28"/>
      <c r="G330" s="28"/>
      <c r="H330" s="52">
        <f>SUM(H331:H333)</f>
        <v>0</v>
      </c>
      <c r="I330" s="52">
        <f>SUM(I331:I333)</f>
        <v>0</v>
      </c>
      <c r="J330" s="52">
        <f>H330+I330</f>
        <v>0</v>
      </c>
      <c r="K330" s="44"/>
      <c r="L330" s="52">
        <f>SUM(L331:L333)</f>
        <v>0.278</v>
      </c>
      <c r="P330" s="52">
        <f>IF(Q330="PR",J330,SUM(O331:O333))</f>
        <v>0</v>
      </c>
      <c r="Q330" s="44" t="s">
        <v>643</v>
      </c>
      <c r="R330" s="52">
        <f>IF(Q330="HS",H330,0)</f>
        <v>0</v>
      </c>
      <c r="S330" s="52">
        <f>IF(Q330="HS",I330-P330,0)</f>
        <v>0</v>
      </c>
      <c r="T330" s="52">
        <f>IF(Q330="PS",H330,0)</f>
        <v>0</v>
      </c>
      <c r="U330" s="52">
        <f>IF(Q330="PS",I330-P330,0)</f>
        <v>0</v>
      </c>
      <c r="V330" s="52">
        <f>IF(Q330="MP",H330,0)</f>
        <v>0</v>
      </c>
      <c r="W330" s="52">
        <f>IF(Q330="MP",I330-P330,0)</f>
        <v>0</v>
      </c>
      <c r="X330" s="52">
        <f>IF(Q330="OM",H330,0)</f>
        <v>0</v>
      </c>
      <c r="Y330" s="44" t="s">
        <v>264</v>
      </c>
      <c r="AI330" s="52">
        <f>SUM(Z331:Z333)</f>
        <v>0</v>
      </c>
      <c r="AJ330" s="52">
        <f>SUM(AA331:AA333)</f>
        <v>0</v>
      </c>
      <c r="AK330" s="52">
        <f>SUM(AB331:AB333)</f>
        <v>0</v>
      </c>
    </row>
    <row r="331" spans="1:32" ht="12.75">
      <c r="A331" s="10" t="s">
        <v>254</v>
      </c>
      <c r="B331" s="10" t="s">
        <v>264</v>
      </c>
      <c r="C331" s="10" t="s">
        <v>416</v>
      </c>
      <c r="D331" s="10" t="s">
        <v>603</v>
      </c>
      <c r="E331" s="10" t="s">
        <v>613</v>
      </c>
      <c r="F331" s="30">
        <v>2</v>
      </c>
      <c r="H331" s="30">
        <f>ROUND(F331*AE331,2)</f>
        <v>0</v>
      </c>
      <c r="I331" s="30">
        <f>J331-H331</f>
        <v>0</v>
      </c>
      <c r="J331" s="30">
        <f>ROUND(F331*G331,2)</f>
        <v>0</v>
      </c>
      <c r="K331" s="30">
        <v>0.127</v>
      </c>
      <c r="L331" s="30">
        <f>F331*K331</f>
        <v>0.254</v>
      </c>
      <c r="N331" s="50" t="s">
        <v>266</v>
      </c>
      <c r="O331" s="30">
        <f>IF(N331="5",I331,0)</f>
        <v>0</v>
      </c>
      <c r="Z331" s="30">
        <f>IF(AD331=0,J331,0)</f>
        <v>0</v>
      </c>
      <c r="AA331" s="30">
        <f>IF(AD331=15,J331,0)</f>
        <v>0</v>
      </c>
      <c r="AB331" s="30">
        <f>IF(AD331=21,J331,0)</f>
        <v>0</v>
      </c>
      <c r="AD331" s="30">
        <v>21</v>
      </c>
      <c r="AE331" s="30">
        <f>G331*1</f>
        <v>0</v>
      </c>
      <c r="AF331" s="30">
        <f>G331*(1-1)</f>
        <v>0</v>
      </c>
    </row>
    <row r="332" spans="1:32" ht="12.75">
      <c r="A332" s="10" t="s">
        <v>255</v>
      </c>
      <c r="B332" s="10" t="s">
        <v>264</v>
      </c>
      <c r="C332" s="10" t="s">
        <v>417</v>
      </c>
      <c r="D332" s="10" t="s">
        <v>604</v>
      </c>
      <c r="E332" s="10" t="s">
        <v>613</v>
      </c>
      <c r="F332" s="30">
        <v>2</v>
      </c>
      <c r="H332" s="30">
        <f>ROUND(F332*AE332,2)</f>
        <v>0</v>
      </c>
      <c r="I332" s="30">
        <f>J332-H332</f>
        <v>0</v>
      </c>
      <c r="J332" s="30">
        <f>ROUND(F332*G332,2)</f>
        <v>0</v>
      </c>
      <c r="K332" s="30">
        <v>0.012</v>
      </c>
      <c r="L332" s="30">
        <f>F332*K332</f>
        <v>0.024</v>
      </c>
      <c r="N332" s="50" t="s">
        <v>266</v>
      </c>
      <c r="O332" s="30">
        <f>IF(N332="5",I332,0)</f>
        <v>0</v>
      </c>
      <c r="Z332" s="30">
        <f>IF(AD332=0,J332,0)</f>
        <v>0</v>
      </c>
      <c r="AA332" s="30">
        <f>IF(AD332=15,J332,0)</f>
        <v>0</v>
      </c>
      <c r="AB332" s="30">
        <f>IF(AD332=21,J332,0)</f>
        <v>0</v>
      </c>
      <c r="AD332" s="30">
        <v>21</v>
      </c>
      <c r="AE332" s="30">
        <f>G332*1</f>
        <v>0</v>
      </c>
      <c r="AF332" s="30">
        <f>G332*(1-1)</f>
        <v>0</v>
      </c>
    </row>
    <row r="333" spans="1:32" ht="12.75">
      <c r="A333" s="11" t="s">
        <v>256</v>
      </c>
      <c r="B333" s="11" t="s">
        <v>264</v>
      </c>
      <c r="C333" s="11" t="s">
        <v>418</v>
      </c>
      <c r="D333" s="11" t="s">
        <v>605</v>
      </c>
      <c r="E333" s="11" t="s">
        <v>618</v>
      </c>
      <c r="F333" s="31">
        <v>2</v>
      </c>
      <c r="G333" s="35"/>
      <c r="H333" s="31">
        <f>ROUND(F333*AE333,2)</f>
        <v>0</v>
      </c>
      <c r="I333" s="31">
        <f>J333-H333</f>
        <v>0</v>
      </c>
      <c r="J333" s="31">
        <f>ROUND(F333*G333,2)</f>
        <v>0</v>
      </c>
      <c r="K333" s="31">
        <v>0</v>
      </c>
      <c r="L333" s="31">
        <f>F333*K333</f>
        <v>0</v>
      </c>
      <c r="N333" s="50" t="s">
        <v>266</v>
      </c>
      <c r="O333" s="30">
        <f>IF(N333="5",I333,0)</f>
        <v>0</v>
      </c>
      <c r="Z333" s="30">
        <f>IF(AD333=0,J333,0)</f>
        <v>0</v>
      </c>
      <c r="AA333" s="30">
        <f>IF(AD333=15,J333,0)</f>
        <v>0</v>
      </c>
      <c r="AB333" s="30">
        <f>IF(AD333=21,J333,0)</f>
        <v>0</v>
      </c>
      <c r="AD333" s="30">
        <v>21</v>
      </c>
      <c r="AE333" s="30">
        <f>G333*1</f>
        <v>0</v>
      </c>
      <c r="AF333" s="30">
        <f>G333*(1-1)</f>
        <v>0</v>
      </c>
    </row>
    <row r="334" spans="1:28" ht="12.75">
      <c r="A334" s="12"/>
      <c r="B334" s="12"/>
      <c r="C334" s="12"/>
      <c r="D334" s="12"/>
      <c r="E334" s="12"/>
      <c r="F334" s="12"/>
      <c r="G334" s="12"/>
      <c r="H334" s="21" t="s">
        <v>629</v>
      </c>
      <c r="I334" s="40"/>
      <c r="J334" s="53">
        <f>J13+J15+J25+J31+J38+J42+J50+J55+J66+J69+J77+J80+J86+J89+J97+J103+J108+J114+J125+J127+J136+J142+J147+J152+J156+J161+J164+J171+J173+J176+J179+J181+J185+J188+J191+J194+J198+J201+J206+J210+J216+J234+J236+J241+J245+J249+J253+J256+J259+J266+J272+J285+J288+J290+J294+J298+J301+J304+J308+J311+J314+J317+J319+J321+J330</f>
        <v>0</v>
      </c>
      <c r="K334" s="12"/>
      <c r="L334" s="12"/>
      <c r="Z334" s="54">
        <f>SUM(Z13:Z333)</f>
        <v>0</v>
      </c>
      <c r="AA334" s="54">
        <f>SUM(AA13:AA333)</f>
        <v>0</v>
      </c>
      <c r="AB334" s="54">
        <f>SUM(AB13:AB333)</f>
        <v>0</v>
      </c>
    </row>
  </sheetData>
  <sheetProtection/>
  <mergeCells count="100">
    <mergeCell ref="D321:G321"/>
    <mergeCell ref="D330:G330"/>
    <mergeCell ref="H334:I334"/>
    <mergeCell ref="D307:G307"/>
    <mergeCell ref="D308:G308"/>
    <mergeCell ref="D311:G311"/>
    <mergeCell ref="D314:G314"/>
    <mergeCell ref="D317:G317"/>
    <mergeCell ref="D319:G319"/>
    <mergeCell ref="D288:G288"/>
    <mergeCell ref="D290:G290"/>
    <mergeCell ref="D294:G294"/>
    <mergeCell ref="D298:G298"/>
    <mergeCell ref="D301:G301"/>
    <mergeCell ref="D304:G304"/>
    <mergeCell ref="D256:G256"/>
    <mergeCell ref="D259:G259"/>
    <mergeCell ref="D266:G266"/>
    <mergeCell ref="D272:G272"/>
    <mergeCell ref="D284:G284"/>
    <mergeCell ref="D285:G285"/>
    <mergeCell ref="D234:G234"/>
    <mergeCell ref="D236:G236"/>
    <mergeCell ref="D241:G241"/>
    <mergeCell ref="D245:G245"/>
    <mergeCell ref="D249:G249"/>
    <mergeCell ref="D253:G253"/>
    <mergeCell ref="D198:G198"/>
    <mergeCell ref="D201:G201"/>
    <mergeCell ref="D206:G206"/>
    <mergeCell ref="D210:G210"/>
    <mergeCell ref="D216:G216"/>
    <mergeCell ref="D233:G233"/>
    <mergeCell ref="D179:G179"/>
    <mergeCell ref="D181:G181"/>
    <mergeCell ref="D185:G185"/>
    <mergeCell ref="D188:G188"/>
    <mergeCell ref="D191:G191"/>
    <mergeCell ref="D194:G194"/>
    <mergeCell ref="D161:G161"/>
    <mergeCell ref="D164:G164"/>
    <mergeCell ref="D171:G171"/>
    <mergeCell ref="D173:G173"/>
    <mergeCell ref="D176:G176"/>
    <mergeCell ref="D178:G178"/>
    <mergeCell ref="D127:G127"/>
    <mergeCell ref="D136:G136"/>
    <mergeCell ref="D142:G142"/>
    <mergeCell ref="D147:G147"/>
    <mergeCell ref="D152:G152"/>
    <mergeCell ref="D156:G156"/>
    <mergeCell ref="D97:G97"/>
    <mergeCell ref="D103:G103"/>
    <mergeCell ref="D108:G108"/>
    <mergeCell ref="D114:G114"/>
    <mergeCell ref="D124:G124"/>
    <mergeCell ref="D125:G125"/>
    <mergeCell ref="D69:G69"/>
    <mergeCell ref="D77:G77"/>
    <mergeCell ref="D80:G80"/>
    <mergeCell ref="D85:G85"/>
    <mergeCell ref="D86:G86"/>
    <mergeCell ref="D89:G89"/>
    <mergeCell ref="D31:G31"/>
    <mergeCell ref="D38:G38"/>
    <mergeCell ref="D42:G42"/>
    <mergeCell ref="D50:G50"/>
    <mergeCell ref="D55:G55"/>
    <mergeCell ref="D66:G66"/>
    <mergeCell ref="H10:J10"/>
    <mergeCell ref="K10:L10"/>
    <mergeCell ref="D12:G12"/>
    <mergeCell ref="D13:G13"/>
    <mergeCell ref="D15:G15"/>
    <mergeCell ref="D25:G25"/>
    <mergeCell ref="I2:I3"/>
    <mergeCell ref="I4:I5"/>
    <mergeCell ref="I6:I7"/>
    <mergeCell ref="I8:I9"/>
    <mergeCell ref="J2:L3"/>
    <mergeCell ref="J4:L5"/>
    <mergeCell ref="J6:L7"/>
    <mergeCell ref="J8:L9"/>
    <mergeCell ref="E4:F5"/>
    <mergeCell ref="E6:F7"/>
    <mergeCell ref="E8:F9"/>
    <mergeCell ref="G2:H3"/>
    <mergeCell ref="G4:H5"/>
    <mergeCell ref="G6:H7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15.00390625" style="0" customWidth="1"/>
    <col min="4" max="4" width="55.8515625" style="0" customWidth="1"/>
    <col min="5" max="5" width="4.28125" style="0" customWidth="1"/>
    <col min="6" max="6" width="31.421875" style="0" customWidth="1"/>
    <col min="7" max="7" width="12.8515625" style="0" customWidth="1"/>
    <col min="8" max="10" width="20.7109375" style="0" customWidth="1"/>
    <col min="11" max="11" width="31.421875" style="0" customWidth="1"/>
    <col min="12" max="12" width="57.140625" style="0" customWidth="1"/>
    <col min="13" max="16384" width="11.421875" style="0" customWidth="1"/>
  </cols>
  <sheetData>
    <row r="1" spans="1:13" ht="12.75">
      <c r="A1" s="55" t="s">
        <v>6</v>
      </c>
      <c r="B1" s="55" t="s">
        <v>652</v>
      </c>
      <c r="C1" s="55" t="s">
        <v>265</v>
      </c>
      <c r="D1" s="55" t="s">
        <v>422</v>
      </c>
      <c r="E1" s="55" t="s">
        <v>610</v>
      </c>
      <c r="F1" s="55" t="s">
        <v>653</v>
      </c>
      <c r="G1" s="55" t="s">
        <v>624</v>
      </c>
      <c r="H1" s="55" t="s">
        <v>868</v>
      </c>
      <c r="I1" s="55" t="s">
        <v>869</v>
      </c>
      <c r="J1" s="55" t="s">
        <v>870</v>
      </c>
      <c r="K1" s="55" t="s">
        <v>871</v>
      </c>
      <c r="L1" s="58" t="s">
        <v>910</v>
      </c>
      <c r="M1" s="48"/>
    </row>
    <row r="2" spans="1:12" ht="12.75">
      <c r="A2" s="19" t="s">
        <v>5</v>
      </c>
      <c r="B2" s="19" t="s">
        <v>5</v>
      </c>
      <c r="C2" s="19"/>
      <c r="D2" s="19" t="s">
        <v>423</v>
      </c>
      <c r="E2" s="19" t="s">
        <v>5</v>
      </c>
      <c r="F2" s="19" t="s">
        <v>5</v>
      </c>
      <c r="G2" s="43" t="s">
        <v>5</v>
      </c>
      <c r="H2" s="43" t="s">
        <v>5</v>
      </c>
      <c r="I2" s="43"/>
      <c r="J2" s="51">
        <v>945.00584</v>
      </c>
      <c r="K2" s="19" t="s">
        <v>5</v>
      </c>
      <c r="L2" s="19" t="s">
        <v>5</v>
      </c>
    </row>
    <row r="3" spans="1:12" ht="12.75">
      <c r="A3" s="20" t="s">
        <v>5</v>
      </c>
      <c r="B3" s="20" t="s">
        <v>5</v>
      </c>
      <c r="C3" s="20" t="s">
        <v>266</v>
      </c>
      <c r="D3" s="20" t="s">
        <v>424</v>
      </c>
      <c r="E3" s="20" t="s">
        <v>5</v>
      </c>
      <c r="F3" s="20" t="s">
        <v>5</v>
      </c>
      <c r="G3" s="44" t="s">
        <v>5</v>
      </c>
      <c r="H3" s="44" t="s">
        <v>5</v>
      </c>
      <c r="I3" s="44"/>
      <c r="J3" s="52">
        <v>0</v>
      </c>
      <c r="K3" s="20" t="s">
        <v>5</v>
      </c>
      <c r="L3" s="20" t="s">
        <v>5</v>
      </c>
    </row>
    <row r="4" spans="1:12" ht="12.75">
      <c r="A4" s="10" t="s">
        <v>7</v>
      </c>
      <c r="B4" s="10" t="s">
        <v>258</v>
      </c>
      <c r="C4" s="10" t="s">
        <v>267</v>
      </c>
      <c r="D4" s="10" t="s">
        <v>425</v>
      </c>
      <c r="E4" s="10" t="s">
        <v>611</v>
      </c>
      <c r="F4" s="10"/>
      <c r="G4" s="30">
        <v>1</v>
      </c>
      <c r="H4" s="50"/>
      <c r="I4" s="50"/>
      <c r="J4" s="30">
        <v>0</v>
      </c>
      <c r="K4" s="10"/>
      <c r="L4" s="59"/>
    </row>
    <row r="5" spans="1:12" ht="12.75">
      <c r="A5" s="20" t="s">
        <v>5</v>
      </c>
      <c r="B5" s="20" t="s">
        <v>5</v>
      </c>
      <c r="C5" s="20" t="s">
        <v>17</v>
      </c>
      <c r="D5" s="20" t="s">
        <v>426</v>
      </c>
      <c r="E5" s="20" t="s">
        <v>5</v>
      </c>
      <c r="F5" s="20" t="s">
        <v>5</v>
      </c>
      <c r="G5" s="44" t="s">
        <v>5</v>
      </c>
      <c r="H5" s="44" t="s">
        <v>5</v>
      </c>
      <c r="I5" s="44"/>
      <c r="J5" s="52">
        <v>170.52525</v>
      </c>
      <c r="K5" s="20" t="s">
        <v>5</v>
      </c>
      <c r="L5" s="20" t="s">
        <v>5</v>
      </c>
    </row>
    <row r="6" spans="1:12" ht="12.75">
      <c r="A6" s="10" t="s">
        <v>8</v>
      </c>
      <c r="B6" s="10" t="s">
        <v>258</v>
      </c>
      <c r="C6" s="10" t="s">
        <v>268</v>
      </c>
      <c r="D6" s="10" t="s">
        <v>427</v>
      </c>
      <c r="E6" s="10" t="s">
        <v>612</v>
      </c>
      <c r="F6" s="10" t="s">
        <v>654</v>
      </c>
      <c r="G6" s="30">
        <v>12.5</v>
      </c>
      <c r="H6" s="50"/>
      <c r="I6" s="50"/>
      <c r="J6" s="30">
        <v>0</v>
      </c>
      <c r="K6" s="10"/>
      <c r="L6" s="59"/>
    </row>
    <row r="7" spans="1:12" ht="12.75">
      <c r="A7" s="10" t="s">
        <v>9</v>
      </c>
      <c r="B7" s="10" t="s">
        <v>258</v>
      </c>
      <c r="C7" s="10" t="s">
        <v>269</v>
      </c>
      <c r="D7" s="10" t="s">
        <v>428</v>
      </c>
      <c r="E7" s="10" t="s">
        <v>613</v>
      </c>
      <c r="F7" s="10" t="s">
        <v>8</v>
      </c>
      <c r="G7" s="30">
        <v>2</v>
      </c>
      <c r="H7" s="50"/>
      <c r="I7" s="50"/>
      <c r="J7" s="30">
        <v>0</v>
      </c>
      <c r="K7" s="10"/>
      <c r="L7" s="59"/>
    </row>
    <row r="8" spans="1:12" ht="12.75">
      <c r="A8" s="10" t="s">
        <v>10</v>
      </c>
      <c r="B8" s="10" t="s">
        <v>258</v>
      </c>
      <c r="C8" s="10" t="s">
        <v>270</v>
      </c>
      <c r="D8" s="10" t="s">
        <v>429</v>
      </c>
      <c r="E8" s="10" t="s">
        <v>613</v>
      </c>
      <c r="F8" s="10"/>
      <c r="G8" s="30">
        <v>2</v>
      </c>
      <c r="H8" s="50"/>
      <c r="I8" s="50"/>
      <c r="J8" s="30">
        <v>0.0001</v>
      </c>
      <c r="K8" s="10"/>
      <c r="L8" s="59"/>
    </row>
    <row r="9" spans="1:12" ht="12.75">
      <c r="A9" s="10" t="s">
        <v>11</v>
      </c>
      <c r="B9" s="10" t="s">
        <v>258</v>
      </c>
      <c r="C9" s="10" t="s">
        <v>271</v>
      </c>
      <c r="D9" s="10" t="s">
        <v>430</v>
      </c>
      <c r="E9" s="10" t="s">
        <v>612</v>
      </c>
      <c r="F9" s="10" t="s">
        <v>655</v>
      </c>
      <c r="G9" s="30">
        <v>18</v>
      </c>
      <c r="H9" s="50"/>
      <c r="I9" s="50"/>
      <c r="J9" s="30">
        <v>0.0009</v>
      </c>
      <c r="K9" s="10"/>
      <c r="L9" s="59"/>
    </row>
    <row r="10" ht="12.75">
      <c r="F10" s="10" t="s">
        <v>656</v>
      </c>
    </row>
    <row r="11" ht="12.75">
      <c r="F11" s="10" t="s">
        <v>656</v>
      </c>
    </row>
    <row r="12" spans="1:12" ht="12.75">
      <c r="A12" s="10" t="s">
        <v>12</v>
      </c>
      <c r="B12" s="10" t="s">
        <v>258</v>
      </c>
      <c r="C12" s="10" t="s">
        <v>272</v>
      </c>
      <c r="D12" s="10" t="s">
        <v>431</v>
      </c>
      <c r="E12" s="10" t="s">
        <v>612</v>
      </c>
      <c r="F12" s="10" t="s">
        <v>657</v>
      </c>
      <c r="G12" s="30">
        <v>184.75</v>
      </c>
      <c r="H12" s="50"/>
      <c r="I12" s="50"/>
      <c r="J12" s="30">
        <v>23.648</v>
      </c>
      <c r="K12" s="10"/>
      <c r="L12" s="59"/>
    </row>
    <row r="13" ht="12.75">
      <c r="F13" s="10" t="s">
        <v>658</v>
      </c>
    </row>
    <row r="14" ht="12.75">
      <c r="F14" s="10" t="s">
        <v>659</v>
      </c>
    </row>
    <row r="15" ht="12.75">
      <c r="F15" s="10" t="s">
        <v>660</v>
      </c>
    </row>
    <row r="16" ht="12.75">
      <c r="F16" s="10" t="s">
        <v>661</v>
      </c>
    </row>
    <row r="17" ht="12.75">
      <c r="F17" s="10" t="s">
        <v>662</v>
      </c>
    </row>
    <row r="18" spans="1:12" ht="12.75">
      <c r="A18" s="10" t="s">
        <v>13</v>
      </c>
      <c r="B18" s="10" t="s">
        <v>258</v>
      </c>
      <c r="C18" s="10" t="s">
        <v>273</v>
      </c>
      <c r="D18" s="10" t="s">
        <v>432</v>
      </c>
      <c r="E18" s="10" t="s">
        <v>612</v>
      </c>
      <c r="F18" s="10" t="s">
        <v>663</v>
      </c>
      <c r="G18" s="30">
        <v>184.75</v>
      </c>
      <c r="H18" s="50"/>
      <c r="I18" s="50"/>
      <c r="J18" s="30">
        <v>43.41625</v>
      </c>
      <c r="K18" s="10"/>
      <c r="L18" s="59"/>
    </row>
    <row r="19" ht="12.75">
      <c r="F19" s="10" t="s">
        <v>662</v>
      </c>
    </row>
    <row r="20" spans="1:12" ht="12.75">
      <c r="A20" s="10" t="s">
        <v>14</v>
      </c>
      <c r="B20" s="10" t="s">
        <v>258</v>
      </c>
      <c r="C20" s="10" t="s">
        <v>274</v>
      </c>
      <c r="D20" s="10" t="s">
        <v>433</v>
      </c>
      <c r="E20" s="10" t="s">
        <v>612</v>
      </c>
      <c r="F20" s="10" t="s">
        <v>664</v>
      </c>
      <c r="G20" s="30">
        <v>184.75</v>
      </c>
      <c r="H20" s="50"/>
      <c r="I20" s="50"/>
      <c r="J20" s="30">
        <v>103.46</v>
      </c>
      <c r="K20" s="10"/>
      <c r="L20" s="59"/>
    </row>
    <row r="21" ht="12.75">
      <c r="F21" s="10" t="s">
        <v>665</v>
      </c>
    </row>
    <row r="22" spans="1:12" ht="12.75">
      <c r="A22" s="10" t="s">
        <v>15</v>
      </c>
      <c r="B22" s="10" t="s">
        <v>258</v>
      </c>
      <c r="C22" s="10" t="s">
        <v>275</v>
      </c>
      <c r="D22" s="10" t="s">
        <v>434</v>
      </c>
      <c r="E22" s="10" t="s">
        <v>614</v>
      </c>
      <c r="F22" s="10"/>
      <c r="G22" s="30">
        <v>170.5253</v>
      </c>
      <c r="H22" s="50"/>
      <c r="I22" s="50"/>
      <c r="J22" s="30">
        <v>0</v>
      </c>
      <c r="K22" s="10"/>
      <c r="L22" s="59"/>
    </row>
    <row r="23" spans="1:12" ht="12.75">
      <c r="A23" s="10" t="s">
        <v>16</v>
      </c>
      <c r="B23" s="10" t="s">
        <v>258</v>
      </c>
      <c r="C23" s="10" t="s">
        <v>276</v>
      </c>
      <c r="D23" s="10" t="s">
        <v>435</v>
      </c>
      <c r="E23" s="10" t="s">
        <v>614</v>
      </c>
      <c r="F23" s="10" t="s">
        <v>666</v>
      </c>
      <c r="G23" s="30">
        <v>1364.2</v>
      </c>
      <c r="H23" s="50"/>
      <c r="I23" s="50"/>
      <c r="J23" s="30">
        <v>0</v>
      </c>
      <c r="K23" s="10"/>
      <c r="L23" s="59"/>
    </row>
    <row r="24" spans="1:12" ht="12.75">
      <c r="A24" s="20" t="s">
        <v>5</v>
      </c>
      <c r="B24" s="20" t="s">
        <v>5</v>
      </c>
      <c r="C24" s="20" t="s">
        <v>18</v>
      </c>
      <c r="D24" s="20" t="s">
        <v>436</v>
      </c>
      <c r="E24" s="20" t="s">
        <v>5</v>
      </c>
      <c r="F24" s="20" t="s">
        <v>5</v>
      </c>
      <c r="G24" s="44" t="s">
        <v>5</v>
      </c>
      <c r="H24" s="44" t="s">
        <v>5</v>
      </c>
      <c r="I24" s="44"/>
      <c r="J24" s="52">
        <v>0</v>
      </c>
      <c r="K24" s="20" t="s">
        <v>5</v>
      </c>
      <c r="L24" s="20" t="s">
        <v>5</v>
      </c>
    </row>
    <row r="25" spans="1:12" ht="12.75">
      <c r="A25" s="10" t="s">
        <v>17</v>
      </c>
      <c r="B25" s="10" t="s">
        <v>258</v>
      </c>
      <c r="C25" s="10" t="s">
        <v>277</v>
      </c>
      <c r="D25" s="10" t="s">
        <v>437</v>
      </c>
      <c r="E25" s="10" t="s">
        <v>615</v>
      </c>
      <c r="F25" s="10" t="s">
        <v>667</v>
      </c>
      <c r="G25" s="30">
        <v>45.92</v>
      </c>
      <c r="H25" s="50"/>
      <c r="I25" s="50"/>
      <c r="J25" s="30">
        <v>0</v>
      </c>
      <c r="K25" s="10"/>
      <c r="L25" s="59"/>
    </row>
    <row r="26" ht="12.75">
      <c r="F26" s="10" t="s">
        <v>668</v>
      </c>
    </row>
    <row r="27" ht="12.75">
      <c r="F27" s="10" t="s">
        <v>669</v>
      </c>
    </row>
    <row r="28" ht="12.75">
      <c r="F28" s="10" t="s">
        <v>670</v>
      </c>
    </row>
    <row r="29" ht="12.75">
      <c r="F29" s="10" t="s">
        <v>671</v>
      </c>
    </row>
    <row r="30" spans="1:12" ht="12.75">
      <c r="A30" s="10" t="s">
        <v>18</v>
      </c>
      <c r="B30" s="10" t="s">
        <v>258</v>
      </c>
      <c r="C30" s="10" t="s">
        <v>278</v>
      </c>
      <c r="D30" s="10" t="s">
        <v>438</v>
      </c>
      <c r="E30" s="10" t="s">
        <v>615</v>
      </c>
      <c r="F30" s="10" t="s">
        <v>669</v>
      </c>
      <c r="G30" s="30">
        <v>54.17</v>
      </c>
      <c r="H30" s="50"/>
      <c r="I30" s="50"/>
      <c r="J30" s="30">
        <v>0</v>
      </c>
      <c r="K30" s="10"/>
      <c r="L30" s="59"/>
    </row>
    <row r="31" ht="12.75">
      <c r="F31" s="10" t="s">
        <v>672</v>
      </c>
    </row>
    <row r="32" spans="1:12" ht="12.75">
      <c r="A32" s="10" t="s">
        <v>19</v>
      </c>
      <c r="B32" s="10" t="s">
        <v>258</v>
      </c>
      <c r="C32" s="10" t="s">
        <v>279</v>
      </c>
      <c r="D32" s="10" t="s">
        <v>439</v>
      </c>
      <c r="E32" s="10" t="s">
        <v>615</v>
      </c>
      <c r="F32" s="10" t="s">
        <v>672</v>
      </c>
      <c r="G32" s="30">
        <v>54.17</v>
      </c>
      <c r="H32" s="50"/>
      <c r="I32" s="50"/>
      <c r="J32" s="30">
        <v>0</v>
      </c>
      <c r="K32" s="10"/>
      <c r="L32" s="59"/>
    </row>
    <row r="33" ht="12.75">
      <c r="F33" s="10" t="s">
        <v>669</v>
      </c>
    </row>
    <row r="34" spans="1:12" ht="12.75">
      <c r="A34" s="10" t="s">
        <v>20</v>
      </c>
      <c r="B34" s="10" t="s">
        <v>258</v>
      </c>
      <c r="C34" s="10" t="s">
        <v>280</v>
      </c>
      <c r="D34" s="10" t="s">
        <v>440</v>
      </c>
      <c r="E34" s="10" t="s">
        <v>615</v>
      </c>
      <c r="F34" s="10"/>
      <c r="G34" s="30">
        <v>1</v>
      </c>
      <c r="H34" s="50"/>
      <c r="I34" s="50"/>
      <c r="J34" s="30">
        <v>0</v>
      </c>
      <c r="K34" s="10" t="s">
        <v>872</v>
      </c>
      <c r="L34" s="59"/>
    </row>
    <row r="35" spans="1:12" ht="12.75">
      <c r="A35" s="10" t="s">
        <v>21</v>
      </c>
      <c r="B35" s="10" t="s">
        <v>258</v>
      </c>
      <c r="C35" s="10" t="s">
        <v>281</v>
      </c>
      <c r="D35" s="10" t="s">
        <v>441</v>
      </c>
      <c r="E35" s="10" t="s">
        <v>615</v>
      </c>
      <c r="F35" s="10" t="s">
        <v>673</v>
      </c>
      <c r="G35" s="30">
        <v>0.63</v>
      </c>
      <c r="H35" s="50"/>
      <c r="I35" s="50"/>
      <c r="J35" s="30">
        <v>0</v>
      </c>
      <c r="K35" s="10"/>
      <c r="L35" s="59"/>
    </row>
    <row r="36" spans="1:12" ht="12.75">
      <c r="A36" s="20" t="s">
        <v>5</v>
      </c>
      <c r="B36" s="20" t="s">
        <v>5</v>
      </c>
      <c r="C36" s="20" t="s">
        <v>24</v>
      </c>
      <c r="D36" s="20" t="s">
        <v>442</v>
      </c>
      <c r="E36" s="20" t="s">
        <v>5</v>
      </c>
      <c r="F36" s="20" t="s">
        <v>5</v>
      </c>
      <c r="G36" s="44" t="s">
        <v>5</v>
      </c>
      <c r="H36" s="44" t="s">
        <v>5</v>
      </c>
      <c r="I36" s="44"/>
      <c r="J36" s="52">
        <v>0</v>
      </c>
      <c r="K36" s="20" t="s">
        <v>5</v>
      </c>
      <c r="L36" s="20" t="s">
        <v>5</v>
      </c>
    </row>
    <row r="37" spans="1:12" ht="12.75">
      <c r="A37" s="10" t="s">
        <v>22</v>
      </c>
      <c r="B37" s="10" t="s">
        <v>258</v>
      </c>
      <c r="C37" s="10" t="s">
        <v>282</v>
      </c>
      <c r="D37" s="10" t="s">
        <v>443</v>
      </c>
      <c r="E37" s="10" t="s">
        <v>612</v>
      </c>
      <c r="F37" s="10" t="s">
        <v>674</v>
      </c>
      <c r="G37" s="30">
        <v>294.5</v>
      </c>
      <c r="H37" s="50"/>
      <c r="I37" s="50"/>
      <c r="J37" s="30">
        <v>0</v>
      </c>
      <c r="K37" s="10"/>
      <c r="L37" s="59"/>
    </row>
    <row r="38" ht="12.75">
      <c r="F38" s="10" t="s">
        <v>675</v>
      </c>
    </row>
    <row r="39" ht="12.75">
      <c r="F39" s="10" t="s">
        <v>676</v>
      </c>
    </row>
    <row r="40" spans="1:12" ht="12.75">
      <c r="A40" s="10" t="s">
        <v>23</v>
      </c>
      <c r="B40" s="10" t="s">
        <v>258</v>
      </c>
      <c r="C40" s="10" t="s">
        <v>283</v>
      </c>
      <c r="D40" s="10" t="s">
        <v>444</v>
      </c>
      <c r="E40" s="10" t="s">
        <v>612</v>
      </c>
      <c r="F40" s="10" t="s">
        <v>677</v>
      </c>
      <c r="G40" s="30">
        <v>75.7</v>
      </c>
      <c r="H40" s="50"/>
      <c r="I40" s="50"/>
      <c r="J40" s="30">
        <v>0</v>
      </c>
      <c r="K40" s="10"/>
      <c r="L40" s="59"/>
    </row>
    <row r="41" ht="12.75">
      <c r="F41" s="10" t="s">
        <v>678</v>
      </c>
    </row>
    <row r="42" spans="1:12" ht="12.75">
      <c r="A42" s="10" t="s">
        <v>24</v>
      </c>
      <c r="B42" s="10" t="s">
        <v>258</v>
      </c>
      <c r="C42" s="10" t="s">
        <v>284</v>
      </c>
      <c r="D42" s="10" t="s">
        <v>445</v>
      </c>
      <c r="E42" s="10" t="s">
        <v>612</v>
      </c>
      <c r="F42" s="10" t="s">
        <v>679</v>
      </c>
      <c r="G42" s="30">
        <v>442.78</v>
      </c>
      <c r="H42" s="50"/>
      <c r="I42" s="50"/>
      <c r="J42" s="30">
        <v>0</v>
      </c>
      <c r="K42" s="10"/>
      <c r="L42" s="59"/>
    </row>
    <row r="43" ht="12.75">
      <c r="F43" s="10" t="s">
        <v>680</v>
      </c>
    </row>
    <row r="44" ht="12.75">
      <c r="F44" s="10" t="s">
        <v>681</v>
      </c>
    </row>
    <row r="45" spans="1:12" ht="12.75">
      <c r="A45" s="10" t="s">
        <v>25</v>
      </c>
      <c r="B45" s="10" t="s">
        <v>258</v>
      </c>
      <c r="C45" s="10" t="s">
        <v>285</v>
      </c>
      <c r="D45" s="10" t="s">
        <v>446</v>
      </c>
      <c r="E45" s="10" t="s">
        <v>615</v>
      </c>
      <c r="F45" s="10" t="s">
        <v>682</v>
      </c>
      <c r="G45" s="30">
        <v>103.96</v>
      </c>
      <c r="H45" s="50"/>
      <c r="I45" s="50"/>
      <c r="J45" s="30">
        <v>0</v>
      </c>
      <c r="K45" s="10"/>
      <c r="L45" s="59"/>
    </row>
    <row r="46" ht="12.75">
      <c r="F46" s="10" t="s">
        <v>683</v>
      </c>
    </row>
    <row r="47" ht="12.75">
      <c r="F47" s="10" t="s">
        <v>684</v>
      </c>
    </row>
    <row r="48" spans="1:12" ht="12.75">
      <c r="A48" s="10" t="s">
        <v>26</v>
      </c>
      <c r="B48" s="10" t="s">
        <v>258</v>
      </c>
      <c r="C48" s="10" t="s">
        <v>286</v>
      </c>
      <c r="D48" s="10" t="s">
        <v>447</v>
      </c>
      <c r="E48" s="10" t="s">
        <v>615</v>
      </c>
      <c r="F48" s="10" t="s">
        <v>685</v>
      </c>
      <c r="G48" s="30">
        <v>99.09</v>
      </c>
      <c r="H48" s="50"/>
      <c r="I48" s="50"/>
      <c r="J48" s="30">
        <v>0</v>
      </c>
      <c r="K48" s="10" t="s">
        <v>873</v>
      </c>
      <c r="L48" s="59"/>
    </row>
    <row r="49" ht="12.75">
      <c r="F49" s="10" t="s">
        <v>686</v>
      </c>
    </row>
    <row r="50" ht="12.75">
      <c r="F50" s="10" t="s">
        <v>687</v>
      </c>
    </row>
    <row r="51" spans="1:12" ht="12.75">
      <c r="A51" s="10" t="s">
        <v>27</v>
      </c>
      <c r="B51" s="10" t="s">
        <v>258</v>
      </c>
      <c r="C51" s="10" t="s">
        <v>287</v>
      </c>
      <c r="D51" s="10" t="s">
        <v>448</v>
      </c>
      <c r="E51" s="10" t="s">
        <v>612</v>
      </c>
      <c r="F51" s="10" t="s">
        <v>688</v>
      </c>
      <c r="G51" s="30">
        <v>27.89</v>
      </c>
      <c r="H51" s="50"/>
      <c r="I51" s="50"/>
      <c r="J51" s="30">
        <v>0</v>
      </c>
      <c r="K51" s="10"/>
      <c r="L51" s="59"/>
    </row>
    <row r="52" ht="12.75">
      <c r="F52" s="10" t="s">
        <v>689</v>
      </c>
    </row>
    <row r="53" spans="1:12" ht="12.75">
      <c r="A53" s="20" t="s">
        <v>5</v>
      </c>
      <c r="B53" s="20" t="s">
        <v>5</v>
      </c>
      <c r="C53" s="20" t="s">
        <v>27</v>
      </c>
      <c r="D53" s="20" t="s">
        <v>449</v>
      </c>
      <c r="E53" s="20" t="s">
        <v>5</v>
      </c>
      <c r="F53" s="20" t="s">
        <v>5</v>
      </c>
      <c r="G53" s="44" t="s">
        <v>5</v>
      </c>
      <c r="H53" s="44" t="s">
        <v>5</v>
      </c>
      <c r="I53" s="44"/>
      <c r="J53" s="52">
        <v>38.04531</v>
      </c>
      <c r="K53" s="20" t="s">
        <v>5</v>
      </c>
      <c r="L53" s="20" t="s">
        <v>5</v>
      </c>
    </row>
    <row r="54" spans="1:12" ht="12.75">
      <c r="A54" s="10" t="s">
        <v>28</v>
      </c>
      <c r="B54" s="10" t="s">
        <v>258</v>
      </c>
      <c r="C54" s="10" t="s">
        <v>288</v>
      </c>
      <c r="D54" s="10" t="s">
        <v>450</v>
      </c>
      <c r="E54" s="10" t="s">
        <v>613</v>
      </c>
      <c r="F54" s="10"/>
      <c r="G54" s="30">
        <v>2</v>
      </c>
      <c r="H54" s="50"/>
      <c r="I54" s="50"/>
      <c r="J54" s="30">
        <v>0.01836</v>
      </c>
      <c r="K54" s="10"/>
      <c r="L54" s="59"/>
    </row>
    <row r="55" spans="1:12" ht="12.75">
      <c r="A55" s="10" t="s">
        <v>29</v>
      </c>
      <c r="B55" s="10" t="s">
        <v>258</v>
      </c>
      <c r="C55" s="10" t="s">
        <v>289</v>
      </c>
      <c r="D55" s="10" t="s">
        <v>451</v>
      </c>
      <c r="E55" s="10" t="s">
        <v>615</v>
      </c>
      <c r="F55" s="10" t="s">
        <v>690</v>
      </c>
      <c r="G55" s="30">
        <v>12.85</v>
      </c>
      <c r="H55" s="50"/>
      <c r="I55" s="50"/>
      <c r="J55" s="30">
        <v>0</v>
      </c>
      <c r="K55" s="10" t="s">
        <v>874</v>
      </c>
      <c r="L55" s="59"/>
    </row>
    <row r="56" ht="12.75">
      <c r="F56" s="10" t="s">
        <v>691</v>
      </c>
    </row>
    <row r="57" spans="1:12" ht="12.75">
      <c r="A57" s="10" t="s">
        <v>30</v>
      </c>
      <c r="B57" s="10" t="s">
        <v>258</v>
      </c>
      <c r="C57" s="10" t="s">
        <v>290</v>
      </c>
      <c r="D57" s="10" t="s">
        <v>452</v>
      </c>
      <c r="E57" s="10" t="s">
        <v>616</v>
      </c>
      <c r="F57" s="10" t="s">
        <v>692</v>
      </c>
      <c r="G57" s="30">
        <v>88.33</v>
      </c>
      <c r="H57" s="50"/>
      <c r="I57" s="50"/>
      <c r="J57" s="30">
        <v>38.02695</v>
      </c>
      <c r="K57" s="10" t="s">
        <v>875</v>
      </c>
      <c r="L57" s="59"/>
    </row>
    <row r="58" spans="1:12" ht="12.75">
      <c r="A58" s="20" t="s">
        <v>5</v>
      </c>
      <c r="B58" s="20" t="s">
        <v>5</v>
      </c>
      <c r="C58" s="20" t="s">
        <v>44</v>
      </c>
      <c r="D58" s="20" t="s">
        <v>453</v>
      </c>
      <c r="E58" s="20" t="s">
        <v>5</v>
      </c>
      <c r="F58" s="20" t="s">
        <v>5</v>
      </c>
      <c r="G58" s="44" t="s">
        <v>5</v>
      </c>
      <c r="H58" s="44" t="s">
        <v>5</v>
      </c>
      <c r="I58" s="44"/>
      <c r="J58" s="52">
        <v>206.37977</v>
      </c>
      <c r="K58" s="20" t="s">
        <v>5</v>
      </c>
      <c r="L58" s="20" t="s">
        <v>5</v>
      </c>
    </row>
    <row r="59" spans="1:12" ht="12.75">
      <c r="A59" s="10" t="s">
        <v>31</v>
      </c>
      <c r="B59" s="10" t="s">
        <v>258</v>
      </c>
      <c r="C59" s="10" t="s">
        <v>291</v>
      </c>
      <c r="D59" s="10" t="s">
        <v>454</v>
      </c>
      <c r="E59" s="10" t="s">
        <v>617</v>
      </c>
      <c r="F59" s="10" t="s">
        <v>10</v>
      </c>
      <c r="G59" s="30">
        <v>4</v>
      </c>
      <c r="H59" s="50"/>
      <c r="I59" s="50"/>
      <c r="J59" s="30">
        <v>0.028</v>
      </c>
      <c r="K59" s="10"/>
      <c r="L59" s="59"/>
    </row>
    <row r="60" spans="1:12" ht="12.75">
      <c r="A60" s="10" t="s">
        <v>32</v>
      </c>
      <c r="B60" s="10" t="s">
        <v>258</v>
      </c>
      <c r="C60" s="10" t="s">
        <v>292</v>
      </c>
      <c r="D60" s="10" t="s">
        <v>455</v>
      </c>
      <c r="E60" s="10" t="s">
        <v>618</v>
      </c>
      <c r="F60" s="10" t="s">
        <v>8</v>
      </c>
      <c r="G60" s="30">
        <v>2</v>
      </c>
      <c r="H60" s="50"/>
      <c r="I60" s="50"/>
      <c r="J60" s="30">
        <v>0.2</v>
      </c>
      <c r="K60" s="10"/>
      <c r="L60" s="59"/>
    </row>
    <row r="61" spans="1:12" ht="12.75">
      <c r="A61" s="10" t="s">
        <v>33</v>
      </c>
      <c r="B61" s="10" t="s">
        <v>258</v>
      </c>
      <c r="C61" s="10" t="s">
        <v>293</v>
      </c>
      <c r="D61" s="10" t="s">
        <v>456</v>
      </c>
      <c r="E61" s="10" t="s">
        <v>618</v>
      </c>
      <c r="F61" s="10" t="s">
        <v>8</v>
      </c>
      <c r="G61" s="30">
        <v>2</v>
      </c>
      <c r="H61" s="50"/>
      <c r="I61" s="50"/>
      <c r="J61" s="30">
        <v>0.2</v>
      </c>
      <c r="K61" s="10"/>
      <c r="L61" s="59"/>
    </row>
    <row r="62" spans="1:12" ht="12.75">
      <c r="A62" s="10" t="s">
        <v>34</v>
      </c>
      <c r="B62" s="10" t="s">
        <v>258</v>
      </c>
      <c r="C62" s="10" t="s">
        <v>294</v>
      </c>
      <c r="D62" s="10" t="s">
        <v>457</v>
      </c>
      <c r="E62" s="10" t="s">
        <v>618</v>
      </c>
      <c r="F62" s="10" t="s">
        <v>693</v>
      </c>
      <c r="G62" s="30">
        <v>76.03</v>
      </c>
      <c r="H62" s="50"/>
      <c r="I62" s="50"/>
      <c r="J62" s="30">
        <v>8.3633</v>
      </c>
      <c r="K62" s="10"/>
      <c r="L62" s="59"/>
    </row>
    <row r="63" ht="12.75">
      <c r="F63" s="10" t="s">
        <v>694</v>
      </c>
    </row>
    <row r="64" spans="1:12" ht="12.75">
      <c r="A64" s="10" t="s">
        <v>35</v>
      </c>
      <c r="B64" s="10" t="s">
        <v>258</v>
      </c>
      <c r="C64" s="10" t="s">
        <v>295</v>
      </c>
      <c r="D64" s="10" t="s">
        <v>458</v>
      </c>
      <c r="E64" s="10" t="s">
        <v>615</v>
      </c>
      <c r="F64" s="10" t="s">
        <v>695</v>
      </c>
      <c r="G64" s="30">
        <v>80.03</v>
      </c>
      <c r="H64" s="50"/>
      <c r="I64" s="50"/>
      <c r="J64" s="30">
        <v>197.58847</v>
      </c>
      <c r="K64" s="10"/>
      <c r="L64" s="59"/>
    </row>
    <row r="65" ht="12.75">
      <c r="F65" s="10" t="s">
        <v>696</v>
      </c>
    </row>
    <row r="66" ht="12.75">
      <c r="F66" s="10" t="s">
        <v>697</v>
      </c>
    </row>
    <row r="67" spans="1:12" ht="12.75">
      <c r="A67" s="10" t="s">
        <v>36</v>
      </c>
      <c r="B67" s="10" t="s">
        <v>258</v>
      </c>
      <c r="C67" s="10" t="s">
        <v>296</v>
      </c>
      <c r="D67" s="10" t="s">
        <v>459</v>
      </c>
      <c r="E67" s="10" t="s">
        <v>614</v>
      </c>
      <c r="F67" s="10" t="s">
        <v>698</v>
      </c>
      <c r="G67" s="30">
        <v>206.38</v>
      </c>
      <c r="H67" s="50"/>
      <c r="I67" s="50"/>
      <c r="J67" s="30">
        <v>0</v>
      </c>
      <c r="K67" s="10"/>
      <c r="L67" s="59"/>
    </row>
    <row r="68" spans="1:12" ht="12.75">
      <c r="A68" s="10" t="s">
        <v>37</v>
      </c>
      <c r="B68" s="10" t="s">
        <v>258</v>
      </c>
      <c r="C68" s="10" t="s">
        <v>297</v>
      </c>
      <c r="D68" s="10" t="s">
        <v>460</v>
      </c>
      <c r="E68" s="10" t="s">
        <v>614</v>
      </c>
      <c r="F68" s="10"/>
      <c r="G68" s="30">
        <v>206.37977</v>
      </c>
      <c r="H68" s="50"/>
      <c r="I68" s="50"/>
      <c r="J68" s="30">
        <v>0</v>
      </c>
      <c r="K68" s="10"/>
      <c r="L68" s="59"/>
    </row>
    <row r="69" spans="1:12" ht="12.75">
      <c r="A69" s="20" t="s">
        <v>5</v>
      </c>
      <c r="B69" s="20" t="s">
        <v>5</v>
      </c>
      <c r="C69" s="20" t="s">
        <v>63</v>
      </c>
      <c r="D69" s="20" t="s">
        <v>461</v>
      </c>
      <c r="E69" s="20" t="s">
        <v>5</v>
      </c>
      <c r="F69" s="20" t="s">
        <v>5</v>
      </c>
      <c r="G69" s="44" t="s">
        <v>5</v>
      </c>
      <c r="H69" s="44" t="s">
        <v>5</v>
      </c>
      <c r="I69" s="44"/>
      <c r="J69" s="52">
        <v>8.3138</v>
      </c>
      <c r="K69" s="20" t="s">
        <v>5</v>
      </c>
      <c r="L69" s="20" t="s">
        <v>5</v>
      </c>
    </row>
    <row r="70" spans="1:12" ht="12.75">
      <c r="A70" s="10" t="s">
        <v>38</v>
      </c>
      <c r="B70" s="10" t="s">
        <v>258</v>
      </c>
      <c r="C70" s="10" t="s">
        <v>298</v>
      </c>
      <c r="D70" s="10" t="s">
        <v>462</v>
      </c>
      <c r="E70" s="10" t="s">
        <v>612</v>
      </c>
      <c r="F70" s="10" t="s">
        <v>699</v>
      </c>
      <c r="G70" s="30">
        <v>32.06</v>
      </c>
      <c r="H70" s="50"/>
      <c r="I70" s="50"/>
      <c r="J70" s="30">
        <v>4.98822</v>
      </c>
      <c r="K70" s="10"/>
      <c r="L70" s="59"/>
    </row>
    <row r="71" ht="12.75">
      <c r="F71" s="10" t="s">
        <v>700</v>
      </c>
    </row>
    <row r="72" ht="12.75">
      <c r="F72" s="10" t="s">
        <v>701</v>
      </c>
    </row>
    <row r="73" ht="12.75">
      <c r="F73" s="10" t="s">
        <v>702</v>
      </c>
    </row>
    <row r="74" ht="12.75">
      <c r="F74" s="10" t="s">
        <v>703</v>
      </c>
    </row>
    <row r="75" spans="1:12" ht="12.75">
      <c r="A75" s="10" t="s">
        <v>39</v>
      </c>
      <c r="B75" s="10" t="s">
        <v>258</v>
      </c>
      <c r="C75" s="10" t="s">
        <v>299</v>
      </c>
      <c r="D75" s="10" t="s">
        <v>463</v>
      </c>
      <c r="E75" s="10" t="s">
        <v>612</v>
      </c>
      <c r="F75" s="10"/>
      <c r="G75" s="30">
        <v>32.06</v>
      </c>
      <c r="H75" s="50"/>
      <c r="I75" s="50"/>
      <c r="J75" s="30">
        <v>3.32558</v>
      </c>
      <c r="K75" s="10"/>
      <c r="L75" s="59"/>
    </row>
    <row r="76" spans="1:12" ht="12.75">
      <c r="A76" s="10" t="s">
        <v>40</v>
      </c>
      <c r="B76" s="10" t="s">
        <v>258</v>
      </c>
      <c r="C76" s="10" t="s">
        <v>300</v>
      </c>
      <c r="D76" s="10" t="s">
        <v>464</v>
      </c>
      <c r="E76" s="10" t="s">
        <v>614</v>
      </c>
      <c r="F76" s="10"/>
      <c r="G76" s="30">
        <v>8.3138</v>
      </c>
      <c r="H76" s="50"/>
      <c r="I76" s="50"/>
      <c r="J76" s="30">
        <v>0</v>
      </c>
      <c r="K76" s="10"/>
      <c r="L76" s="59"/>
    </row>
    <row r="77" spans="1:12" ht="12.75">
      <c r="A77" s="10" t="s">
        <v>41</v>
      </c>
      <c r="B77" s="10" t="s">
        <v>258</v>
      </c>
      <c r="C77" s="10" t="s">
        <v>301</v>
      </c>
      <c r="D77" s="10" t="s">
        <v>465</v>
      </c>
      <c r="E77" s="10" t="s">
        <v>614</v>
      </c>
      <c r="F77" s="10" t="s">
        <v>704</v>
      </c>
      <c r="G77" s="30">
        <v>33.26</v>
      </c>
      <c r="H77" s="50"/>
      <c r="I77" s="50"/>
      <c r="J77" s="30">
        <v>0</v>
      </c>
      <c r="K77" s="10"/>
      <c r="L77" s="59"/>
    </row>
    <row r="78" spans="1:12" ht="12.75">
      <c r="A78" s="20" t="s">
        <v>5</v>
      </c>
      <c r="B78" s="20" t="s">
        <v>5</v>
      </c>
      <c r="C78" s="20" t="s">
        <v>65</v>
      </c>
      <c r="D78" s="20" t="s">
        <v>466</v>
      </c>
      <c r="E78" s="20" t="s">
        <v>5</v>
      </c>
      <c r="F78" s="20" t="s">
        <v>5</v>
      </c>
      <c r="G78" s="44" t="s">
        <v>5</v>
      </c>
      <c r="H78" s="44" t="s">
        <v>5</v>
      </c>
      <c r="I78" s="44"/>
      <c r="J78" s="52">
        <v>463.59817</v>
      </c>
      <c r="K78" s="20" t="s">
        <v>5</v>
      </c>
      <c r="L78" s="20" t="s">
        <v>5</v>
      </c>
    </row>
    <row r="79" spans="1:12" ht="12.75">
      <c r="A79" s="10" t="s">
        <v>42</v>
      </c>
      <c r="B79" s="10" t="s">
        <v>258</v>
      </c>
      <c r="C79" s="10" t="s">
        <v>302</v>
      </c>
      <c r="D79" s="10" t="s">
        <v>467</v>
      </c>
      <c r="E79" s="10" t="s">
        <v>612</v>
      </c>
      <c r="F79" s="10" t="s">
        <v>705</v>
      </c>
      <c r="G79" s="30">
        <v>199.7</v>
      </c>
      <c r="H79" s="50"/>
      <c r="I79" s="50"/>
      <c r="J79" s="30">
        <v>255.35439</v>
      </c>
      <c r="K79" s="10"/>
      <c r="L79" s="59"/>
    </row>
    <row r="80" spans="1:12" ht="12.75">
      <c r="A80" s="10" t="s">
        <v>43</v>
      </c>
      <c r="B80" s="10" t="s">
        <v>258</v>
      </c>
      <c r="C80" s="10" t="s">
        <v>303</v>
      </c>
      <c r="D80" s="10" t="s">
        <v>468</v>
      </c>
      <c r="E80" s="10" t="s">
        <v>612</v>
      </c>
      <c r="F80" s="10" t="s">
        <v>706</v>
      </c>
      <c r="G80" s="30">
        <v>187</v>
      </c>
      <c r="H80" s="50"/>
      <c r="I80" s="50"/>
      <c r="J80" s="30">
        <v>108.17576</v>
      </c>
      <c r="K80" s="10" t="s">
        <v>876</v>
      </c>
      <c r="L80" s="59"/>
    </row>
    <row r="81" ht="12.75">
      <c r="F81" s="10" t="s">
        <v>707</v>
      </c>
    </row>
    <row r="82" ht="12.75">
      <c r="F82" s="10" t="s">
        <v>708</v>
      </c>
    </row>
    <row r="83" ht="12.75">
      <c r="F83" s="10" t="s">
        <v>709</v>
      </c>
    </row>
    <row r="84" ht="12.75">
      <c r="F84" s="10" t="s">
        <v>710</v>
      </c>
    </row>
    <row r="85" ht="12.75">
      <c r="F85" s="10" t="s">
        <v>711</v>
      </c>
    </row>
    <row r="86" spans="1:12" ht="12.75">
      <c r="A86" s="10" t="s">
        <v>44</v>
      </c>
      <c r="B86" s="10" t="s">
        <v>258</v>
      </c>
      <c r="C86" s="10" t="s">
        <v>303</v>
      </c>
      <c r="D86" s="10" t="s">
        <v>469</v>
      </c>
      <c r="E86" s="10" t="s">
        <v>612</v>
      </c>
      <c r="F86" s="10" t="s">
        <v>712</v>
      </c>
      <c r="G86" s="30">
        <v>28</v>
      </c>
      <c r="H86" s="50"/>
      <c r="I86" s="50"/>
      <c r="J86" s="30">
        <v>16.19744</v>
      </c>
      <c r="K86" s="10" t="s">
        <v>877</v>
      </c>
      <c r="L86" s="59"/>
    </row>
    <row r="87" ht="12.75">
      <c r="F87" s="10" t="s">
        <v>713</v>
      </c>
    </row>
    <row r="88" ht="12.75">
      <c r="F88" s="10" t="s">
        <v>714</v>
      </c>
    </row>
    <row r="89" spans="1:12" ht="12.75">
      <c r="A89" s="10" t="s">
        <v>45</v>
      </c>
      <c r="B89" s="10" t="s">
        <v>258</v>
      </c>
      <c r="C89" s="10" t="s">
        <v>304</v>
      </c>
      <c r="D89" s="10" t="s">
        <v>470</v>
      </c>
      <c r="E89" s="10" t="s">
        <v>616</v>
      </c>
      <c r="F89" s="10" t="s">
        <v>715</v>
      </c>
      <c r="G89" s="30">
        <v>103.5</v>
      </c>
      <c r="H89" s="50"/>
      <c r="I89" s="50"/>
      <c r="J89" s="30">
        <v>9.7497</v>
      </c>
      <c r="K89" s="10"/>
      <c r="L89" s="59"/>
    </row>
    <row r="90" spans="1:12" ht="12.75">
      <c r="A90" s="10" t="s">
        <v>46</v>
      </c>
      <c r="B90" s="10" t="s">
        <v>258</v>
      </c>
      <c r="C90" s="10" t="s">
        <v>305</v>
      </c>
      <c r="D90" s="10" t="s">
        <v>471</v>
      </c>
      <c r="E90" s="10" t="s">
        <v>616</v>
      </c>
      <c r="F90" s="10" t="s">
        <v>35</v>
      </c>
      <c r="G90" s="30">
        <v>29</v>
      </c>
      <c r="H90" s="50"/>
      <c r="I90" s="50"/>
      <c r="J90" s="30">
        <v>6.28575</v>
      </c>
      <c r="K90" s="10" t="s">
        <v>878</v>
      </c>
      <c r="L90" s="59"/>
    </row>
    <row r="91" spans="1:12" ht="12.75">
      <c r="A91" s="10" t="s">
        <v>47</v>
      </c>
      <c r="B91" s="10" t="s">
        <v>258</v>
      </c>
      <c r="C91" s="10" t="s">
        <v>306</v>
      </c>
      <c r="D91" s="10" t="s">
        <v>471</v>
      </c>
      <c r="E91" s="10" t="s">
        <v>616</v>
      </c>
      <c r="F91" s="10" t="s">
        <v>716</v>
      </c>
      <c r="G91" s="30">
        <v>104</v>
      </c>
      <c r="H91" s="50"/>
      <c r="I91" s="50"/>
      <c r="J91" s="30">
        <v>19.81096</v>
      </c>
      <c r="K91" s="10" t="s">
        <v>879</v>
      </c>
      <c r="L91" s="59"/>
    </row>
    <row r="92" ht="12.75">
      <c r="F92" s="10" t="s">
        <v>717</v>
      </c>
    </row>
    <row r="93" ht="12.75">
      <c r="F93" s="10" t="s">
        <v>718</v>
      </c>
    </row>
    <row r="94" ht="12.75">
      <c r="F94" s="10" t="s">
        <v>719</v>
      </c>
    </row>
    <row r="95" spans="1:12" ht="12.75">
      <c r="A95" s="10" t="s">
        <v>48</v>
      </c>
      <c r="B95" s="10" t="s">
        <v>258</v>
      </c>
      <c r="C95" s="10" t="s">
        <v>307</v>
      </c>
      <c r="D95" s="10" t="s">
        <v>471</v>
      </c>
      <c r="E95" s="10" t="s">
        <v>616</v>
      </c>
      <c r="F95" s="10" t="s">
        <v>111</v>
      </c>
      <c r="G95" s="30">
        <v>110.8</v>
      </c>
      <c r="H95" s="50"/>
      <c r="I95" s="50"/>
      <c r="J95" s="30">
        <v>17.97287</v>
      </c>
      <c r="K95" s="10" t="s">
        <v>880</v>
      </c>
      <c r="L95" s="59"/>
    </row>
    <row r="96" ht="12.75">
      <c r="F96" s="10" t="s">
        <v>720</v>
      </c>
    </row>
    <row r="97" spans="1:12" ht="12.75">
      <c r="A97" s="10" t="s">
        <v>49</v>
      </c>
      <c r="B97" s="10" t="s">
        <v>258</v>
      </c>
      <c r="C97" s="10" t="s">
        <v>308</v>
      </c>
      <c r="D97" s="10" t="s">
        <v>472</v>
      </c>
      <c r="E97" s="10" t="s">
        <v>616</v>
      </c>
      <c r="F97" s="10" t="s">
        <v>721</v>
      </c>
      <c r="G97" s="30">
        <v>91.9</v>
      </c>
      <c r="H97" s="50"/>
      <c r="I97" s="50"/>
      <c r="J97" s="30">
        <v>30.0513</v>
      </c>
      <c r="K97" s="10" t="s">
        <v>881</v>
      </c>
      <c r="L97" s="59"/>
    </row>
    <row r="98" spans="1:12" ht="12.75">
      <c r="A98" s="10" t="s">
        <v>50</v>
      </c>
      <c r="B98" s="10" t="s">
        <v>258</v>
      </c>
      <c r="C98" s="10" t="s">
        <v>296</v>
      </c>
      <c r="D98" s="10" t="s">
        <v>459</v>
      </c>
      <c r="E98" s="10" t="s">
        <v>614</v>
      </c>
      <c r="F98" s="10" t="s">
        <v>722</v>
      </c>
      <c r="G98" s="30">
        <v>469.13</v>
      </c>
      <c r="H98" s="50"/>
      <c r="I98" s="50"/>
      <c r="J98" s="30">
        <v>0</v>
      </c>
      <c r="K98" s="10"/>
      <c r="L98" s="59"/>
    </row>
    <row r="99" ht="12.75">
      <c r="F99" s="10" t="s">
        <v>723</v>
      </c>
    </row>
    <row r="100" ht="12.75">
      <c r="F100" s="10" t="s">
        <v>724</v>
      </c>
    </row>
    <row r="101" spans="1:12" ht="12.75">
      <c r="A101" s="10" t="s">
        <v>51</v>
      </c>
      <c r="B101" s="10" t="s">
        <v>258</v>
      </c>
      <c r="C101" s="10" t="s">
        <v>297</v>
      </c>
      <c r="D101" s="10" t="s">
        <v>460</v>
      </c>
      <c r="E101" s="10" t="s">
        <v>614</v>
      </c>
      <c r="F101" s="10" t="s">
        <v>725</v>
      </c>
      <c r="G101" s="30">
        <v>938.26</v>
      </c>
      <c r="H101" s="50"/>
      <c r="I101" s="50"/>
      <c r="J101" s="30">
        <v>0</v>
      </c>
      <c r="K101" s="10"/>
      <c r="L101" s="59"/>
    </row>
    <row r="102" spans="1:12" ht="12.75">
      <c r="A102" s="20" t="s">
        <v>5</v>
      </c>
      <c r="B102" s="20" t="s">
        <v>5</v>
      </c>
      <c r="C102" s="20" t="s">
        <v>95</v>
      </c>
      <c r="D102" s="20" t="s">
        <v>473</v>
      </c>
      <c r="E102" s="20" t="s">
        <v>5</v>
      </c>
      <c r="F102" s="20" t="s">
        <v>5</v>
      </c>
      <c r="G102" s="44" t="s">
        <v>5</v>
      </c>
      <c r="H102" s="44" t="s">
        <v>5</v>
      </c>
      <c r="I102" s="44"/>
      <c r="J102" s="52">
        <v>0</v>
      </c>
      <c r="K102" s="20" t="s">
        <v>5</v>
      </c>
      <c r="L102" s="20" t="s">
        <v>5</v>
      </c>
    </row>
    <row r="103" spans="1:12" ht="12.75">
      <c r="A103" s="10" t="s">
        <v>52</v>
      </c>
      <c r="B103" s="10" t="s">
        <v>258</v>
      </c>
      <c r="C103" s="10" t="s">
        <v>309</v>
      </c>
      <c r="D103" s="10" t="s">
        <v>474</v>
      </c>
      <c r="E103" s="10" t="s">
        <v>611</v>
      </c>
      <c r="F103" s="10"/>
      <c r="G103" s="30">
        <v>1</v>
      </c>
      <c r="H103" s="50"/>
      <c r="I103" s="50"/>
      <c r="J103" s="30">
        <v>0</v>
      </c>
      <c r="K103" s="10"/>
      <c r="L103" s="59"/>
    </row>
    <row r="104" spans="1:12" ht="12.75">
      <c r="A104" s="10" t="s">
        <v>53</v>
      </c>
      <c r="B104" s="10" t="s">
        <v>258</v>
      </c>
      <c r="C104" s="10" t="s">
        <v>310</v>
      </c>
      <c r="D104" s="10" t="s">
        <v>475</v>
      </c>
      <c r="E104" s="10" t="s">
        <v>619</v>
      </c>
      <c r="F104" s="10"/>
      <c r="G104" s="30">
        <v>5</v>
      </c>
      <c r="H104" s="50"/>
      <c r="I104" s="50"/>
      <c r="J104" s="30">
        <v>0</v>
      </c>
      <c r="K104" s="10" t="s">
        <v>882</v>
      </c>
      <c r="L104" s="59"/>
    </row>
    <row r="105" spans="1:12" ht="12.75">
      <c r="A105" s="20" t="s">
        <v>5</v>
      </c>
      <c r="B105" s="20" t="s">
        <v>5</v>
      </c>
      <c r="C105" s="20" t="s">
        <v>97</v>
      </c>
      <c r="D105" s="20" t="s">
        <v>476</v>
      </c>
      <c r="E105" s="20" t="s">
        <v>5</v>
      </c>
      <c r="F105" s="20" t="s">
        <v>5</v>
      </c>
      <c r="G105" s="44" t="s">
        <v>5</v>
      </c>
      <c r="H105" s="44" t="s">
        <v>5</v>
      </c>
      <c r="I105" s="44"/>
      <c r="J105" s="52">
        <v>1.53203</v>
      </c>
      <c r="K105" s="20" t="s">
        <v>5</v>
      </c>
      <c r="L105" s="20" t="s">
        <v>5</v>
      </c>
    </row>
    <row r="106" spans="1:12" ht="12.75">
      <c r="A106" s="10" t="s">
        <v>54</v>
      </c>
      <c r="B106" s="10" t="s">
        <v>258</v>
      </c>
      <c r="C106" s="10" t="s">
        <v>311</v>
      </c>
      <c r="D106" s="10" t="s">
        <v>477</v>
      </c>
      <c r="E106" s="10" t="s">
        <v>616</v>
      </c>
      <c r="F106" s="10"/>
      <c r="G106" s="30">
        <v>106.9</v>
      </c>
      <c r="H106" s="50"/>
      <c r="I106" s="50"/>
      <c r="J106" s="30">
        <v>0</v>
      </c>
      <c r="K106" s="10"/>
      <c r="L106" s="59"/>
    </row>
    <row r="107" spans="1:12" ht="12.75">
      <c r="A107" s="10" t="s">
        <v>55</v>
      </c>
      <c r="B107" s="10" t="s">
        <v>258</v>
      </c>
      <c r="C107" s="10" t="s">
        <v>312</v>
      </c>
      <c r="D107" s="10" t="s">
        <v>478</v>
      </c>
      <c r="E107" s="10" t="s">
        <v>616</v>
      </c>
      <c r="F107" s="10"/>
      <c r="G107" s="30">
        <v>106.9</v>
      </c>
      <c r="H107" s="50"/>
      <c r="I107" s="50"/>
      <c r="J107" s="30">
        <v>0</v>
      </c>
      <c r="K107" s="10"/>
      <c r="L107" s="59"/>
    </row>
    <row r="108" spans="1:12" ht="12.75">
      <c r="A108" s="10" t="s">
        <v>56</v>
      </c>
      <c r="B108" s="10" t="s">
        <v>258</v>
      </c>
      <c r="C108" s="10" t="s">
        <v>313</v>
      </c>
      <c r="D108" s="10" t="s">
        <v>479</v>
      </c>
      <c r="E108" s="10" t="s">
        <v>616</v>
      </c>
      <c r="F108" s="10"/>
      <c r="G108" s="30">
        <v>106.9</v>
      </c>
      <c r="H108" s="50"/>
      <c r="I108" s="50"/>
      <c r="J108" s="30">
        <v>0.45967</v>
      </c>
      <c r="K108" s="10"/>
      <c r="L108" s="59"/>
    </row>
    <row r="109" spans="1:12" ht="12.75">
      <c r="A109" s="10" t="s">
        <v>57</v>
      </c>
      <c r="B109" s="10" t="s">
        <v>258</v>
      </c>
      <c r="C109" s="10" t="s">
        <v>314</v>
      </c>
      <c r="D109" s="10" t="s">
        <v>480</v>
      </c>
      <c r="E109" s="10" t="s">
        <v>616</v>
      </c>
      <c r="F109" s="10" t="s">
        <v>726</v>
      </c>
      <c r="G109" s="30">
        <v>131.7</v>
      </c>
      <c r="H109" s="50"/>
      <c r="I109" s="50"/>
      <c r="J109" s="30">
        <v>0.01185</v>
      </c>
      <c r="K109" s="10"/>
      <c r="L109" s="59"/>
    </row>
    <row r="110" ht="12.75">
      <c r="F110" s="10" t="s">
        <v>727</v>
      </c>
    </row>
    <row r="111" ht="12.75">
      <c r="F111" s="10" t="s">
        <v>728</v>
      </c>
    </row>
    <row r="112" spans="1:12" ht="12.75">
      <c r="A112" s="10" t="s">
        <v>58</v>
      </c>
      <c r="B112" s="10" t="s">
        <v>258</v>
      </c>
      <c r="C112" s="10" t="s">
        <v>315</v>
      </c>
      <c r="D112" s="10" t="s">
        <v>481</v>
      </c>
      <c r="E112" s="10" t="s">
        <v>616</v>
      </c>
      <c r="F112" s="10" t="s">
        <v>729</v>
      </c>
      <c r="G112" s="30">
        <v>87.4</v>
      </c>
      <c r="H112" s="50"/>
      <c r="I112" s="50"/>
      <c r="J112" s="30">
        <v>0.01573</v>
      </c>
      <c r="K112" s="10"/>
      <c r="L112" s="59"/>
    </row>
    <row r="113" ht="12.75">
      <c r="F113" s="10" t="s">
        <v>20</v>
      </c>
    </row>
    <row r="114" ht="12.75">
      <c r="F114" s="10" t="s">
        <v>730</v>
      </c>
    </row>
    <row r="115" ht="12.75">
      <c r="F115" s="10" t="s">
        <v>731</v>
      </c>
    </row>
    <row r="116" ht="12.75">
      <c r="F116" s="10" t="s">
        <v>20</v>
      </c>
    </row>
    <row r="117" ht="12.75">
      <c r="F117" s="10" t="s">
        <v>33</v>
      </c>
    </row>
    <row r="118" spans="1:12" ht="12.75">
      <c r="A118" s="10" t="s">
        <v>59</v>
      </c>
      <c r="B118" s="10" t="s">
        <v>258</v>
      </c>
      <c r="C118" s="10" t="s">
        <v>316</v>
      </c>
      <c r="D118" s="10" t="s">
        <v>482</v>
      </c>
      <c r="E118" s="10" t="s">
        <v>612</v>
      </c>
      <c r="F118" s="10" t="s">
        <v>732</v>
      </c>
      <c r="G118" s="30">
        <v>80.5</v>
      </c>
      <c r="H118" s="50"/>
      <c r="I118" s="50"/>
      <c r="J118" s="30">
        <v>0.06118</v>
      </c>
      <c r="K118" s="10"/>
      <c r="L118" s="59"/>
    </row>
    <row r="119" ht="12.75">
      <c r="F119" s="10" t="s">
        <v>733</v>
      </c>
    </row>
    <row r="120" spans="1:12" ht="12.75">
      <c r="A120" s="10" t="s">
        <v>60</v>
      </c>
      <c r="B120" s="10" t="s">
        <v>258</v>
      </c>
      <c r="C120" s="10" t="s">
        <v>317</v>
      </c>
      <c r="D120" s="10" t="s">
        <v>483</v>
      </c>
      <c r="E120" s="10" t="s">
        <v>613</v>
      </c>
      <c r="F120" s="10" t="s">
        <v>10</v>
      </c>
      <c r="G120" s="30">
        <v>4</v>
      </c>
      <c r="H120" s="50"/>
      <c r="I120" s="50"/>
      <c r="J120" s="30">
        <v>0.9836</v>
      </c>
      <c r="K120" s="10" t="s">
        <v>883</v>
      </c>
      <c r="L120" s="59"/>
    </row>
    <row r="121" spans="1:12" ht="12.75">
      <c r="A121" s="20" t="s">
        <v>5</v>
      </c>
      <c r="B121" s="20" t="s">
        <v>5</v>
      </c>
      <c r="C121" s="20" t="s">
        <v>318</v>
      </c>
      <c r="D121" s="20" t="s">
        <v>484</v>
      </c>
      <c r="E121" s="20" t="s">
        <v>5</v>
      </c>
      <c r="F121" s="20" t="s">
        <v>5</v>
      </c>
      <c r="G121" s="44" t="s">
        <v>5</v>
      </c>
      <c r="H121" s="44" t="s">
        <v>5</v>
      </c>
      <c r="I121" s="44"/>
      <c r="J121" s="52">
        <v>0.00151</v>
      </c>
      <c r="K121" s="20" t="s">
        <v>5</v>
      </c>
      <c r="L121" s="20" t="s">
        <v>5</v>
      </c>
    </row>
    <row r="122" spans="1:12" ht="12.75">
      <c r="A122" s="10" t="s">
        <v>61</v>
      </c>
      <c r="B122" s="10" t="s">
        <v>258</v>
      </c>
      <c r="C122" s="10" t="s">
        <v>319</v>
      </c>
      <c r="D122" s="10" t="s">
        <v>485</v>
      </c>
      <c r="E122" s="10" t="s">
        <v>615</v>
      </c>
      <c r="F122" s="10" t="s">
        <v>734</v>
      </c>
      <c r="G122" s="30">
        <v>40.01</v>
      </c>
      <c r="H122" s="50"/>
      <c r="I122" s="50"/>
      <c r="J122" s="30">
        <v>0</v>
      </c>
      <c r="K122" s="10" t="s">
        <v>884</v>
      </c>
      <c r="L122" s="59"/>
    </row>
    <row r="123" ht="12.75">
      <c r="F123" s="10" t="s">
        <v>735</v>
      </c>
    </row>
    <row r="124" spans="1:12" ht="12.75">
      <c r="A124" s="10" t="s">
        <v>62</v>
      </c>
      <c r="B124" s="10" t="s">
        <v>258</v>
      </c>
      <c r="C124" s="10" t="s">
        <v>320</v>
      </c>
      <c r="D124" s="10" t="s">
        <v>486</v>
      </c>
      <c r="E124" s="10" t="s">
        <v>612</v>
      </c>
      <c r="F124" s="10" t="s">
        <v>736</v>
      </c>
      <c r="G124" s="30">
        <v>75.7</v>
      </c>
      <c r="H124" s="50"/>
      <c r="I124" s="50"/>
      <c r="J124" s="30">
        <v>0.00151</v>
      </c>
      <c r="K124" s="10" t="s">
        <v>885</v>
      </c>
      <c r="L124" s="59"/>
    </row>
    <row r="125" ht="12.75">
      <c r="F125" s="10" t="s">
        <v>737</v>
      </c>
    </row>
    <row r="126" ht="12.75">
      <c r="F126" s="10" t="s">
        <v>738</v>
      </c>
    </row>
    <row r="127" ht="12.75">
      <c r="F127" s="10" t="s">
        <v>739</v>
      </c>
    </row>
    <row r="128" spans="1:12" ht="12.75">
      <c r="A128" s="20" t="s">
        <v>5</v>
      </c>
      <c r="B128" s="20" t="s">
        <v>5</v>
      </c>
      <c r="C128" s="20"/>
      <c r="D128" s="20" t="s">
        <v>487</v>
      </c>
      <c r="E128" s="20" t="s">
        <v>5</v>
      </c>
      <c r="F128" s="20" t="s">
        <v>5</v>
      </c>
      <c r="G128" s="44" t="s">
        <v>5</v>
      </c>
      <c r="H128" s="44" t="s">
        <v>5</v>
      </c>
      <c r="I128" s="44"/>
      <c r="J128" s="52">
        <v>56.61</v>
      </c>
      <c r="K128" s="20" t="s">
        <v>5</v>
      </c>
      <c r="L128" s="20" t="s">
        <v>5</v>
      </c>
    </row>
    <row r="129" spans="1:12" ht="12.75">
      <c r="A129" s="10" t="s">
        <v>63</v>
      </c>
      <c r="B129" s="10" t="s">
        <v>258</v>
      </c>
      <c r="C129" s="10" t="s">
        <v>321</v>
      </c>
      <c r="D129" s="10" t="s">
        <v>488</v>
      </c>
      <c r="E129" s="10" t="s">
        <v>620</v>
      </c>
      <c r="F129" s="10" t="s">
        <v>740</v>
      </c>
      <c r="G129" s="30">
        <v>51.1</v>
      </c>
      <c r="H129" s="50"/>
      <c r="I129" s="50"/>
      <c r="J129" s="30">
        <v>51.1</v>
      </c>
      <c r="K129" s="10"/>
      <c r="L129" s="59"/>
    </row>
    <row r="130" spans="1:12" ht="12.75">
      <c r="A130" s="10" t="s">
        <v>64</v>
      </c>
      <c r="B130" s="10" t="s">
        <v>258</v>
      </c>
      <c r="C130" s="10" t="s">
        <v>322</v>
      </c>
      <c r="D130" s="10" t="s">
        <v>489</v>
      </c>
      <c r="E130" s="10" t="s">
        <v>620</v>
      </c>
      <c r="F130" s="10" t="s">
        <v>741</v>
      </c>
      <c r="G130" s="30">
        <v>5.51</v>
      </c>
      <c r="H130" s="50"/>
      <c r="I130" s="50"/>
      <c r="J130" s="30">
        <v>5.51</v>
      </c>
      <c r="K130" s="10"/>
      <c r="L130" s="59"/>
    </row>
    <row r="131" spans="1:12" ht="12.75">
      <c r="A131" s="10" t="s">
        <v>65</v>
      </c>
      <c r="B131" s="10" t="s">
        <v>258</v>
      </c>
      <c r="C131" s="10" t="s">
        <v>323</v>
      </c>
      <c r="D131" s="10" t="s">
        <v>490</v>
      </c>
      <c r="E131" s="10" t="s">
        <v>614</v>
      </c>
      <c r="F131" s="10"/>
      <c r="G131" s="30">
        <v>56.61</v>
      </c>
      <c r="H131" s="50"/>
      <c r="I131" s="50"/>
      <c r="J131" s="30">
        <v>0</v>
      </c>
      <c r="K131" s="10"/>
      <c r="L131" s="59"/>
    </row>
    <row r="132" spans="1:12" ht="12.75">
      <c r="A132" s="10" t="s">
        <v>66</v>
      </c>
      <c r="B132" s="10" t="s">
        <v>258</v>
      </c>
      <c r="C132" s="10" t="s">
        <v>324</v>
      </c>
      <c r="D132" s="10" t="s">
        <v>491</v>
      </c>
      <c r="E132" s="10" t="s">
        <v>614</v>
      </c>
      <c r="F132" s="10" t="s">
        <v>742</v>
      </c>
      <c r="G132" s="30">
        <v>566.1</v>
      </c>
      <c r="H132" s="50"/>
      <c r="I132" s="50"/>
      <c r="J132" s="30">
        <v>0</v>
      </c>
      <c r="K132" s="10"/>
      <c r="L132" s="59"/>
    </row>
    <row r="133" spans="1:12" ht="12.75">
      <c r="A133" s="20" t="s">
        <v>5</v>
      </c>
      <c r="B133" s="20" t="s">
        <v>5</v>
      </c>
      <c r="C133" s="20"/>
      <c r="D133" s="20" t="s">
        <v>492</v>
      </c>
      <c r="E133" s="20" t="s">
        <v>5</v>
      </c>
      <c r="F133" s="20" t="s">
        <v>5</v>
      </c>
      <c r="G133" s="44" t="s">
        <v>5</v>
      </c>
      <c r="H133" s="44" t="s">
        <v>5</v>
      </c>
      <c r="I133" s="44"/>
      <c r="J133" s="52">
        <v>173.97592</v>
      </c>
      <c r="K133" s="20" t="s">
        <v>5</v>
      </c>
      <c r="L133" s="20" t="s">
        <v>5</v>
      </c>
    </row>
    <row r="134" spans="1:12" ht="12.75">
      <c r="A134" s="20" t="s">
        <v>5</v>
      </c>
      <c r="B134" s="20" t="s">
        <v>5</v>
      </c>
      <c r="C134" s="20" t="s">
        <v>266</v>
      </c>
      <c r="D134" s="20" t="s">
        <v>424</v>
      </c>
      <c r="E134" s="20" t="s">
        <v>5</v>
      </c>
      <c r="F134" s="20" t="s">
        <v>5</v>
      </c>
      <c r="G134" s="44" t="s">
        <v>5</v>
      </c>
      <c r="H134" s="44" t="s">
        <v>5</v>
      </c>
      <c r="I134" s="44"/>
      <c r="J134" s="52">
        <v>0</v>
      </c>
      <c r="K134" s="20" t="s">
        <v>5</v>
      </c>
      <c r="L134" s="20" t="s">
        <v>5</v>
      </c>
    </row>
    <row r="135" spans="1:12" ht="12.75">
      <c r="A135" s="10" t="s">
        <v>67</v>
      </c>
      <c r="B135" s="10" t="s">
        <v>259</v>
      </c>
      <c r="C135" s="10" t="s">
        <v>267</v>
      </c>
      <c r="D135" s="10" t="s">
        <v>493</v>
      </c>
      <c r="E135" s="10" t="s">
        <v>611</v>
      </c>
      <c r="F135" s="10"/>
      <c r="G135" s="30">
        <v>1</v>
      </c>
      <c r="H135" s="50"/>
      <c r="I135" s="50"/>
      <c r="J135" s="30">
        <v>0</v>
      </c>
      <c r="K135" s="10"/>
      <c r="L135" s="59"/>
    </row>
    <row r="136" spans="1:12" ht="12.75">
      <c r="A136" s="10" t="s">
        <v>68</v>
      </c>
      <c r="B136" s="10" t="s">
        <v>259</v>
      </c>
      <c r="C136" s="10" t="s">
        <v>325</v>
      </c>
      <c r="D136" s="10" t="s">
        <v>494</v>
      </c>
      <c r="E136" s="10" t="s">
        <v>618</v>
      </c>
      <c r="F136" s="10"/>
      <c r="G136" s="30">
        <v>1</v>
      </c>
      <c r="H136" s="50"/>
      <c r="I136" s="50"/>
      <c r="J136" s="30">
        <v>0</v>
      </c>
      <c r="K136" s="10"/>
      <c r="L136" s="59"/>
    </row>
    <row r="137" spans="1:12" ht="12.75">
      <c r="A137" s="20" t="s">
        <v>5</v>
      </c>
      <c r="B137" s="20" t="s">
        <v>5</v>
      </c>
      <c r="C137" s="20" t="s">
        <v>18</v>
      </c>
      <c r="D137" s="20" t="s">
        <v>436</v>
      </c>
      <c r="E137" s="20" t="s">
        <v>5</v>
      </c>
      <c r="F137" s="20" t="s">
        <v>5</v>
      </c>
      <c r="G137" s="44" t="s">
        <v>5</v>
      </c>
      <c r="H137" s="44" t="s">
        <v>5</v>
      </c>
      <c r="I137" s="44"/>
      <c r="J137" s="52">
        <v>0</v>
      </c>
      <c r="K137" s="20" t="s">
        <v>5</v>
      </c>
      <c r="L137" s="20" t="s">
        <v>5</v>
      </c>
    </row>
    <row r="138" spans="1:12" ht="12.75">
      <c r="A138" s="10" t="s">
        <v>69</v>
      </c>
      <c r="B138" s="10" t="s">
        <v>259</v>
      </c>
      <c r="C138" s="10" t="s">
        <v>277</v>
      </c>
      <c r="D138" s="10" t="s">
        <v>437</v>
      </c>
      <c r="E138" s="10" t="s">
        <v>615</v>
      </c>
      <c r="F138" s="10" t="s">
        <v>743</v>
      </c>
      <c r="G138" s="30">
        <v>26.42</v>
      </c>
      <c r="H138" s="50"/>
      <c r="I138" s="50"/>
      <c r="J138" s="30">
        <v>0</v>
      </c>
      <c r="K138" s="10"/>
      <c r="L138" s="59"/>
    </row>
    <row r="139" spans="1:12" ht="12.75">
      <c r="A139" s="10" t="s">
        <v>70</v>
      </c>
      <c r="B139" s="10" t="s">
        <v>259</v>
      </c>
      <c r="C139" s="10" t="s">
        <v>326</v>
      </c>
      <c r="D139" s="10" t="s">
        <v>495</v>
      </c>
      <c r="E139" s="10" t="s">
        <v>615</v>
      </c>
      <c r="F139" s="10"/>
      <c r="G139" s="30">
        <v>26.42</v>
      </c>
      <c r="H139" s="50"/>
      <c r="I139" s="50"/>
      <c r="J139" s="30">
        <v>0</v>
      </c>
      <c r="K139" s="10"/>
      <c r="L139" s="59"/>
    </row>
    <row r="140" spans="1:12" ht="12.75">
      <c r="A140" s="10" t="s">
        <v>71</v>
      </c>
      <c r="B140" s="10" t="s">
        <v>259</v>
      </c>
      <c r="C140" s="10" t="s">
        <v>327</v>
      </c>
      <c r="D140" s="10" t="s">
        <v>496</v>
      </c>
      <c r="E140" s="10" t="s">
        <v>614</v>
      </c>
      <c r="F140" s="10" t="s">
        <v>744</v>
      </c>
      <c r="G140" s="30">
        <v>68.69</v>
      </c>
      <c r="H140" s="50"/>
      <c r="I140" s="50"/>
      <c r="J140" s="30">
        <v>0</v>
      </c>
      <c r="K140" s="10"/>
      <c r="L140" s="59"/>
    </row>
    <row r="141" spans="1:12" ht="12.75">
      <c r="A141" s="10" t="s">
        <v>72</v>
      </c>
      <c r="B141" s="10" t="s">
        <v>259</v>
      </c>
      <c r="C141" s="10" t="s">
        <v>328</v>
      </c>
      <c r="D141" s="10" t="s">
        <v>497</v>
      </c>
      <c r="E141" s="10" t="s">
        <v>614</v>
      </c>
      <c r="F141" s="10" t="s">
        <v>745</v>
      </c>
      <c r="G141" s="30">
        <v>1717.25</v>
      </c>
      <c r="H141" s="50"/>
      <c r="I141" s="50"/>
      <c r="J141" s="30">
        <v>0</v>
      </c>
      <c r="K141" s="10"/>
      <c r="L141" s="59"/>
    </row>
    <row r="142" spans="1:12" ht="12.75">
      <c r="A142" s="10" t="s">
        <v>73</v>
      </c>
      <c r="B142" s="10" t="s">
        <v>259</v>
      </c>
      <c r="C142" s="10" t="s">
        <v>277</v>
      </c>
      <c r="D142" s="10" t="s">
        <v>437</v>
      </c>
      <c r="E142" s="10" t="s">
        <v>615</v>
      </c>
      <c r="F142" s="10" t="s">
        <v>746</v>
      </c>
      <c r="G142" s="30">
        <v>8.26</v>
      </c>
      <c r="H142" s="50"/>
      <c r="I142" s="50"/>
      <c r="J142" s="30">
        <v>0</v>
      </c>
      <c r="K142" s="10"/>
      <c r="L142" s="59"/>
    </row>
    <row r="143" spans="1:12" ht="12.75">
      <c r="A143" s="10" t="s">
        <v>74</v>
      </c>
      <c r="B143" s="10" t="s">
        <v>259</v>
      </c>
      <c r="C143" s="10" t="s">
        <v>278</v>
      </c>
      <c r="D143" s="10" t="s">
        <v>438</v>
      </c>
      <c r="E143" s="10" t="s">
        <v>615</v>
      </c>
      <c r="F143" s="10" t="s">
        <v>747</v>
      </c>
      <c r="G143" s="30">
        <v>8.26</v>
      </c>
      <c r="H143" s="50"/>
      <c r="I143" s="50"/>
      <c r="J143" s="30">
        <v>0</v>
      </c>
      <c r="K143" s="10"/>
      <c r="L143" s="59"/>
    </row>
    <row r="144" spans="1:12" ht="12.75">
      <c r="A144" s="10" t="s">
        <v>75</v>
      </c>
      <c r="B144" s="10" t="s">
        <v>259</v>
      </c>
      <c r="C144" s="10" t="s">
        <v>279</v>
      </c>
      <c r="D144" s="10" t="s">
        <v>439</v>
      </c>
      <c r="E144" s="10" t="s">
        <v>615</v>
      </c>
      <c r="F144" s="10" t="s">
        <v>747</v>
      </c>
      <c r="G144" s="30">
        <v>8.26</v>
      </c>
      <c r="H144" s="50"/>
      <c r="I144" s="50"/>
      <c r="J144" s="30">
        <v>0</v>
      </c>
      <c r="K144" s="10"/>
      <c r="L144" s="59"/>
    </row>
    <row r="145" spans="1:12" ht="12.75">
      <c r="A145" s="20" t="s">
        <v>5</v>
      </c>
      <c r="B145" s="20" t="s">
        <v>5</v>
      </c>
      <c r="C145" s="20" t="s">
        <v>329</v>
      </c>
      <c r="D145" s="20" t="s">
        <v>498</v>
      </c>
      <c r="E145" s="20" t="s">
        <v>5</v>
      </c>
      <c r="F145" s="20" t="s">
        <v>5</v>
      </c>
      <c r="G145" s="44" t="s">
        <v>5</v>
      </c>
      <c r="H145" s="44" t="s">
        <v>5</v>
      </c>
      <c r="I145" s="44"/>
      <c r="J145" s="52">
        <v>6.76931</v>
      </c>
      <c r="K145" s="20" t="s">
        <v>5</v>
      </c>
      <c r="L145" s="20" t="s">
        <v>5</v>
      </c>
    </row>
    <row r="146" spans="1:12" ht="12.75">
      <c r="A146" s="10" t="s">
        <v>76</v>
      </c>
      <c r="B146" s="10" t="s">
        <v>259</v>
      </c>
      <c r="C146" s="10" t="s">
        <v>330</v>
      </c>
      <c r="D146" s="10" t="s">
        <v>499</v>
      </c>
      <c r="E146" s="10" t="s">
        <v>611</v>
      </c>
      <c r="F146" s="10"/>
      <c r="G146" s="30">
        <v>1</v>
      </c>
      <c r="H146" s="50"/>
      <c r="I146" s="50"/>
      <c r="J146" s="30">
        <v>1.5</v>
      </c>
      <c r="K146" s="10"/>
      <c r="L146" s="59"/>
    </row>
    <row r="147" spans="1:12" ht="12.75">
      <c r="A147" s="10" t="s">
        <v>77</v>
      </c>
      <c r="B147" s="10" t="s">
        <v>259</v>
      </c>
      <c r="C147" s="10" t="s">
        <v>331</v>
      </c>
      <c r="D147" s="10" t="s">
        <v>500</v>
      </c>
      <c r="E147" s="10" t="s">
        <v>615</v>
      </c>
      <c r="F147" s="10" t="s">
        <v>748</v>
      </c>
      <c r="G147" s="30">
        <v>1.6</v>
      </c>
      <c r="H147" s="50"/>
      <c r="I147" s="50"/>
      <c r="J147" s="30">
        <v>4.90797</v>
      </c>
      <c r="K147" s="10" t="s">
        <v>886</v>
      </c>
      <c r="L147" s="59"/>
    </row>
    <row r="148" spans="1:12" ht="12.75">
      <c r="A148" s="10" t="s">
        <v>78</v>
      </c>
      <c r="B148" s="10" t="s">
        <v>259</v>
      </c>
      <c r="C148" s="10" t="s">
        <v>332</v>
      </c>
      <c r="D148" s="10" t="s">
        <v>501</v>
      </c>
      <c r="E148" s="10" t="s">
        <v>612</v>
      </c>
      <c r="F148" s="10"/>
      <c r="G148" s="30">
        <v>7.68</v>
      </c>
      <c r="H148" s="50"/>
      <c r="I148" s="50"/>
      <c r="J148" s="30">
        <v>0</v>
      </c>
      <c r="K148" s="10" t="s">
        <v>886</v>
      </c>
      <c r="L148" s="59"/>
    </row>
    <row r="149" spans="1:12" ht="12.75">
      <c r="A149" s="10" t="s">
        <v>79</v>
      </c>
      <c r="B149" s="10" t="s">
        <v>259</v>
      </c>
      <c r="C149" s="10" t="s">
        <v>333</v>
      </c>
      <c r="D149" s="10" t="s">
        <v>502</v>
      </c>
      <c r="E149" s="10" t="s">
        <v>612</v>
      </c>
      <c r="F149" s="10" t="s">
        <v>749</v>
      </c>
      <c r="G149" s="30">
        <v>7.68</v>
      </c>
      <c r="H149" s="50"/>
      <c r="I149" s="50"/>
      <c r="J149" s="30">
        <v>0.36134</v>
      </c>
      <c r="K149" s="10" t="s">
        <v>886</v>
      </c>
      <c r="L149" s="59"/>
    </row>
    <row r="150" spans="1:12" ht="12.75">
      <c r="A150" s="10" t="s">
        <v>80</v>
      </c>
      <c r="B150" s="10" t="s">
        <v>259</v>
      </c>
      <c r="C150" s="10" t="s">
        <v>334</v>
      </c>
      <c r="D150" s="10" t="s">
        <v>503</v>
      </c>
      <c r="E150" s="10" t="s">
        <v>615</v>
      </c>
      <c r="F150" s="10" t="s">
        <v>750</v>
      </c>
      <c r="G150" s="30">
        <v>0.8</v>
      </c>
      <c r="H150" s="50"/>
      <c r="I150" s="50"/>
      <c r="J150" s="30">
        <v>0</v>
      </c>
      <c r="K150" s="10" t="s">
        <v>886</v>
      </c>
      <c r="L150" s="59"/>
    </row>
    <row r="151" spans="1:12" ht="12.75">
      <c r="A151" s="20" t="s">
        <v>5</v>
      </c>
      <c r="B151" s="20" t="s">
        <v>5</v>
      </c>
      <c r="C151" s="20" t="s">
        <v>24</v>
      </c>
      <c r="D151" s="20" t="s">
        <v>442</v>
      </c>
      <c r="E151" s="20" t="s">
        <v>5</v>
      </c>
      <c r="F151" s="20" t="s">
        <v>5</v>
      </c>
      <c r="G151" s="44" t="s">
        <v>5</v>
      </c>
      <c r="H151" s="44" t="s">
        <v>5</v>
      </c>
      <c r="I151" s="44"/>
      <c r="J151" s="52">
        <v>0</v>
      </c>
      <c r="K151" s="20" t="s">
        <v>5</v>
      </c>
      <c r="L151" s="20" t="s">
        <v>5</v>
      </c>
    </row>
    <row r="152" spans="1:12" ht="12.75">
      <c r="A152" s="10" t="s">
        <v>81</v>
      </c>
      <c r="B152" s="10" t="s">
        <v>259</v>
      </c>
      <c r="C152" s="10" t="s">
        <v>282</v>
      </c>
      <c r="D152" s="10" t="s">
        <v>443</v>
      </c>
      <c r="E152" s="10" t="s">
        <v>612</v>
      </c>
      <c r="F152" s="10" t="s">
        <v>751</v>
      </c>
      <c r="G152" s="30">
        <v>110.2</v>
      </c>
      <c r="H152" s="50"/>
      <c r="I152" s="50"/>
      <c r="J152" s="30">
        <v>0</v>
      </c>
      <c r="K152" s="10"/>
      <c r="L152" s="59"/>
    </row>
    <row r="153" spans="1:12" ht="12.75">
      <c r="A153" s="10" t="s">
        <v>82</v>
      </c>
      <c r="B153" s="10" t="s">
        <v>259</v>
      </c>
      <c r="C153" s="10" t="s">
        <v>284</v>
      </c>
      <c r="D153" s="10" t="s">
        <v>445</v>
      </c>
      <c r="E153" s="10" t="s">
        <v>612</v>
      </c>
      <c r="F153" s="10" t="s">
        <v>752</v>
      </c>
      <c r="G153" s="30">
        <v>37.5</v>
      </c>
      <c r="H153" s="50"/>
      <c r="I153" s="50"/>
      <c r="J153" s="30">
        <v>0</v>
      </c>
      <c r="K153" s="10"/>
      <c r="L153" s="59"/>
    </row>
    <row r="154" spans="1:12" ht="12.75">
      <c r="A154" s="10" t="s">
        <v>83</v>
      </c>
      <c r="B154" s="10" t="s">
        <v>259</v>
      </c>
      <c r="C154" s="10" t="s">
        <v>285</v>
      </c>
      <c r="D154" s="10" t="s">
        <v>446</v>
      </c>
      <c r="E154" s="10" t="s">
        <v>615</v>
      </c>
      <c r="F154" s="10" t="s">
        <v>753</v>
      </c>
      <c r="G154" s="30">
        <v>13.8</v>
      </c>
      <c r="H154" s="50"/>
      <c r="I154" s="50"/>
      <c r="J154" s="30">
        <v>0</v>
      </c>
      <c r="K154" s="10"/>
      <c r="L154" s="59"/>
    </row>
    <row r="155" spans="1:12" ht="12.75">
      <c r="A155" s="10" t="s">
        <v>84</v>
      </c>
      <c r="B155" s="10" t="s">
        <v>259</v>
      </c>
      <c r="C155" s="10" t="s">
        <v>286</v>
      </c>
      <c r="D155" s="10" t="s">
        <v>447</v>
      </c>
      <c r="E155" s="10" t="s">
        <v>615</v>
      </c>
      <c r="F155" s="10" t="s">
        <v>754</v>
      </c>
      <c r="G155" s="30">
        <v>10.3</v>
      </c>
      <c r="H155" s="50"/>
      <c r="I155" s="50"/>
      <c r="J155" s="30">
        <v>0</v>
      </c>
      <c r="K155" s="10" t="s">
        <v>873</v>
      </c>
      <c r="L155" s="59"/>
    </row>
    <row r="156" spans="1:12" ht="12.75">
      <c r="A156" s="20" t="s">
        <v>5</v>
      </c>
      <c r="B156" s="20" t="s">
        <v>5</v>
      </c>
      <c r="C156" s="20" t="s">
        <v>49</v>
      </c>
      <c r="D156" s="20" t="s">
        <v>504</v>
      </c>
      <c r="E156" s="20" t="s">
        <v>5</v>
      </c>
      <c r="F156" s="20" t="s">
        <v>5</v>
      </c>
      <c r="G156" s="44" t="s">
        <v>5</v>
      </c>
      <c r="H156" s="44" t="s">
        <v>5</v>
      </c>
      <c r="I156" s="44"/>
      <c r="J156" s="52">
        <v>7.57458</v>
      </c>
      <c r="K156" s="20" t="s">
        <v>5</v>
      </c>
      <c r="L156" s="20" t="s">
        <v>5</v>
      </c>
    </row>
    <row r="157" spans="1:12" ht="12.75">
      <c r="A157" s="10" t="s">
        <v>85</v>
      </c>
      <c r="B157" s="10" t="s">
        <v>259</v>
      </c>
      <c r="C157" s="10" t="s">
        <v>335</v>
      </c>
      <c r="D157" s="10" t="s">
        <v>505</v>
      </c>
      <c r="E157" s="10" t="s">
        <v>615</v>
      </c>
      <c r="F157" s="10" t="s">
        <v>755</v>
      </c>
      <c r="G157" s="30">
        <v>1.23</v>
      </c>
      <c r="H157" s="50"/>
      <c r="I157" s="50"/>
      <c r="J157" s="30">
        <v>0</v>
      </c>
      <c r="K157" s="10" t="s">
        <v>887</v>
      </c>
      <c r="L157" s="59"/>
    </row>
    <row r="158" spans="1:12" ht="12.75">
      <c r="A158" s="10" t="s">
        <v>86</v>
      </c>
      <c r="B158" s="10" t="s">
        <v>259</v>
      </c>
      <c r="C158" s="10" t="s">
        <v>336</v>
      </c>
      <c r="D158" s="10" t="s">
        <v>506</v>
      </c>
      <c r="E158" s="10" t="s">
        <v>615</v>
      </c>
      <c r="F158" s="10" t="s">
        <v>756</v>
      </c>
      <c r="G158" s="30">
        <v>2.08</v>
      </c>
      <c r="H158" s="50"/>
      <c r="I158" s="50"/>
      <c r="J158" s="30">
        <v>5.02724</v>
      </c>
      <c r="K158" s="10"/>
      <c r="L158" s="59"/>
    </row>
    <row r="159" ht="12.75">
      <c r="F159" s="10" t="s">
        <v>757</v>
      </c>
    </row>
    <row r="160" spans="1:12" ht="12.75">
      <c r="A160" s="10" t="s">
        <v>87</v>
      </c>
      <c r="B160" s="10" t="s">
        <v>259</v>
      </c>
      <c r="C160" s="10" t="s">
        <v>337</v>
      </c>
      <c r="D160" s="10" t="s">
        <v>507</v>
      </c>
      <c r="E160" s="10" t="s">
        <v>616</v>
      </c>
      <c r="F160" s="10" t="s">
        <v>758</v>
      </c>
      <c r="G160" s="30">
        <v>8</v>
      </c>
      <c r="H160" s="50"/>
      <c r="I160" s="50"/>
      <c r="J160" s="30">
        <v>2.1396</v>
      </c>
      <c r="K160" s="10" t="s">
        <v>888</v>
      </c>
      <c r="L160" s="59"/>
    </row>
    <row r="161" spans="1:12" ht="12.75">
      <c r="A161" s="10" t="s">
        <v>88</v>
      </c>
      <c r="B161" s="10" t="s">
        <v>259</v>
      </c>
      <c r="C161" s="10" t="s">
        <v>338</v>
      </c>
      <c r="D161" s="10" t="s">
        <v>508</v>
      </c>
      <c r="E161" s="10" t="s">
        <v>616</v>
      </c>
      <c r="F161" s="10" t="s">
        <v>759</v>
      </c>
      <c r="G161" s="30">
        <v>9.2</v>
      </c>
      <c r="H161" s="50"/>
      <c r="I161" s="50"/>
      <c r="J161" s="30">
        <v>0.40774</v>
      </c>
      <c r="K161" s="10"/>
      <c r="L161" s="59"/>
    </row>
    <row r="162" ht="12.75">
      <c r="F162" s="10" t="s">
        <v>759</v>
      </c>
    </row>
    <row r="163" spans="1:12" ht="12.75">
      <c r="A163" s="10" t="s">
        <v>89</v>
      </c>
      <c r="B163" s="10" t="s">
        <v>259</v>
      </c>
      <c r="C163" s="10" t="s">
        <v>339</v>
      </c>
      <c r="D163" s="10" t="s">
        <v>509</v>
      </c>
      <c r="E163" s="10" t="s">
        <v>612</v>
      </c>
      <c r="F163" s="10" t="s">
        <v>760</v>
      </c>
      <c r="G163" s="30">
        <v>5.04</v>
      </c>
      <c r="H163" s="50"/>
      <c r="I163" s="50"/>
      <c r="J163" s="30">
        <v>0</v>
      </c>
      <c r="K163" s="10"/>
      <c r="L163" s="59"/>
    </row>
    <row r="164" spans="1:12" ht="12.75">
      <c r="A164" s="20" t="s">
        <v>5</v>
      </c>
      <c r="B164" s="20" t="s">
        <v>5</v>
      </c>
      <c r="C164" s="20" t="s">
        <v>65</v>
      </c>
      <c r="D164" s="20" t="s">
        <v>466</v>
      </c>
      <c r="E164" s="20" t="s">
        <v>5</v>
      </c>
      <c r="F164" s="20" t="s">
        <v>5</v>
      </c>
      <c r="G164" s="44" t="s">
        <v>5</v>
      </c>
      <c r="H164" s="44" t="s">
        <v>5</v>
      </c>
      <c r="I164" s="44"/>
      <c r="J164" s="52">
        <v>159.63203</v>
      </c>
      <c r="K164" s="20" t="s">
        <v>5</v>
      </c>
      <c r="L164" s="20" t="s">
        <v>5</v>
      </c>
    </row>
    <row r="165" spans="1:12" ht="12.75">
      <c r="A165" s="10" t="s">
        <v>90</v>
      </c>
      <c r="B165" s="10" t="s">
        <v>259</v>
      </c>
      <c r="C165" s="10" t="s">
        <v>296</v>
      </c>
      <c r="D165" s="10" t="s">
        <v>459</v>
      </c>
      <c r="E165" s="10" t="s">
        <v>614</v>
      </c>
      <c r="F165" s="10"/>
      <c r="G165" s="30">
        <v>84.79817</v>
      </c>
      <c r="H165" s="50"/>
      <c r="I165" s="50"/>
      <c r="J165" s="30">
        <v>0</v>
      </c>
      <c r="K165" s="10"/>
      <c r="L165" s="59"/>
    </row>
    <row r="166" spans="1:12" ht="12.75">
      <c r="A166" s="10" t="s">
        <v>91</v>
      </c>
      <c r="B166" s="10" t="s">
        <v>259</v>
      </c>
      <c r="C166" s="10" t="s">
        <v>297</v>
      </c>
      <c r="D166" s="10" t="s">
        <v>460</v>
      </c>
      <c r="E166" s="10" t="s">
        <v>614</v>
      </c>
      <c r="F166" s="10" t="s">
        <v>761</v>
      </c>
      <c r="G166" s="30">
        <v>169.6</v>
      </c>
      <c r="H166" s="50"/>
      <c r="I166" s="50"/>
      <c r="J166" s="30">
        <v>0</v>
      </c>
      <c r="K166" s="10"/>
      <c r="L166" s="59"/>
    </row>
    <row r="167" spans="1:12" ht="12.75">
      <c r="A167" s="10" t="s">
        <v>92</v>
      </c>
      <c r="B167" s="10" t="s">
        <v>259</v>
      </c>
      <c r="C167" s="10" t="s">
        <v>306</v>
      </c>
      <c r="D167" s="10" t="s">
        <v>471</v>
      </c>
      <c r="E167" s="10" t="s">
        <v>616</v>
      </c>
      <c r="F167" s="10" t="s">
        <v>762</v>
      </c>
      <c r="G167" s="30">
        <v>92.4</v>
      </c>
      <c r="H167" s="50"/>
      <c r="I167" s="50"/>
      <c r="J167" s="30">
        <v>17.60128</v>
      </c>
      <c r="K167" s="10" t="s">
        <v>879</v>
      </c>
      <c r="L167" s="59"/>
    </row>
    <row r="168" spans="1:12" ht="12.75">
      <c r="A168" s="10" t="s">
        <v>93</v>
      </c>
      <c r="B168" s="10" t="s">
        <v>259</v>
      </c>
      <c r="C168" s="10" t="s">
        <v>340</v>
      </c>
      <c r="D168" s="10" t="s">
        <v>510</v>
      </c>
      <c r="E168" s="10" t="s">
        <v>612</v>
      </c>
      <c r="F168" s="10" t="s">
        <v>763</v>
      </c>
      <c r="G168" s="30">
        <v>110.2</v>
      </c>
      <c r="H168" s="50"/>
      <c r="I168" s="50"/>
      <c r="J168" s="30">
        <v>73.73372</v>
      </c>
      <c r="K168" s="10" t="s">
        <v>876</v>
      </c>
      <c r="L168" s="59"/>
    </row>
    <row r="169" spans="1:12" ht="12.75">
      <c r="A169" s="10" t="s">
        <v>94</v>
      </c>
      <c r="B169" s="10" t="s">
        <v>259</v>
      </c>
      <c r="C169" s="10" t="s">
        <v>303</v>
      </c>
      <c r="D169" s="10" t="s">
        <v>468</v>
      </c>
      <c r="E169" s="10" t="s">
        <v>612</v>
      </c>
      <c r="F169" s="10" t="s">
        <v>764</v>
      </c>
      <c r="G169" s="30">
        <v>86.8</v>
      </c>
      <c r="H169" s="50"/>
      <c r="I169" s="50"/>
      <c r="J169" s="30">
        <v>50.21206</v>
      </c>
      <c r="K169" s="10" t="s">
        <v>876</v>
      </c>
      <c r="L169" s="59"/>
    </row>
    <row r="170" ht="12.75">
      <c r="F170" s="10" t="s">
        <v>765</v>
      </c>
    </row>
    <row r="171" ht="12.75">
      <c r="F171" s="10" t="s">
        <v>766</v>
      </c>
    </row>
    <row r="172" spans="1:12" ht="12.75">
      <c r="A172" s="10" t="s">
        <v>95</v>
      </c>
      <c r="B172" s="10" t="s">
        <v>259</v>
      </c>
      <c r="C172" s="10" t="s">
        <v>303</v>
      </c>
      <c r="D172" s="10" t="s">
        <v>469</v>
      </c>
      <c r="E172" s="10" t="s">
        <v>612</v>
      </c>
      <c r="F172" s="10" t="s">
        <v>767</v>
      </c>
      <c r="G172" s="30">
        <v>6.5</v>
      </c>
      <c r="H172" s="50"/>
      <c r="I172" s="50"/>
      <c r="J172" s="30">
        <v>3.76012</v>
      </c>
      <c r="K172" s="10" t="s">
        <v>877</v>
      </c>
      <c r="L172" s="59"/>
    </row>
    <row r="173" ht="12.75">
      <c r="F173" s="10" t="s">
        <v>768</v>
      </c>
    </row>
    <row r="174" spans="1:12" ht="12.75">
      <c r="A174" s="10" t="s">
        <v>96</v>
      </c>
      <c r="B174" s="10" t="s">
        <v>259</v>
      </c>
      <c r="C174" s="10" t="s">
        <v>306</v>
      </c>
      <c r="D174" s="10" t="s">
        <v>471</v>
      </c>
      <c r="E174" s="10" t="s">
        <v>616</v>
      </c>
      <c r="F174" s="10" t="s">
        <v>769</v>
      </c>
      <c r="G174" s="30">
        <v>75.2</v>
      </c>
      <c r="H174" s="50"/>
      <c r="I174" s="50"/>
      <c r="J174" s="30">
        <v>14.32485</v>
      </c>
      <c r="K174" s="10" t="s">
        <v>879</v>
      </c>
      <c r="L174" s="59"/>
    </row>
    <row r="175" ht="12.75">
      <c r="F175" s="10" t="s">
        <v>770</v>
      </c>
    </row>
    <row r="176" ht="12.75">
      <c r="F176" s="10" t="s">
        <v>771</v>
      </c>
    </row>
    <row r="177" spans="1:12" ht="12.75">
      <c r="A177" s="10" t="s">
        <v>97</v>
      </c>
      <c r="B177" s="10" t="s">
        <v>259</v>
      </c>
      <c r="C177" s="10" t="s">
        <v>296</v>
      </c>
      <c r="D177" s="10" t="s">
        <v>459</v>
      </c>
      <c r="E177" s="10" t="s">
        <v>614</v>
      </c>
      <c r="F177" s="10" t="s">
        <v>772</v>
      </c>
      <c r="G177" s="30">
        <v>62.77</v>
      </c>
      <c r="H177" s="50"/>
      <c r="I177" s="50"/>
      <c r="J177" s="30">
        <v>0</v>
      </c>
      <c r="K177" s="10"/>
      <c r="L177" s="59"/>
    </row>
    <row r="178" ht="12.75">
      <c r="F178" s="10" t="s">
        <v>773</v>
      </c>
    </row>
    <row r="179" spans="1:12" ht="12.75">
      <c r="A179" s="10" t="s">
        <v>98</v>
      </c>
      <c r="B179" s="10" t="s">
        <v>259</v>
      </c>
      <c r="C179" s="10" t="s">
        <v>297</v>
      </c>
      <c r="D179" s="10" t="s">
        <v>460</v>
      </c>
      <c r="E179" s="10" t="s">
        <v>614</v>
      </c>
      <c r="F179" s="10" t="s">
        <v>774</v>
      </c>
      <c r="G179" s="30">
        <v>125.54</v>
      </c>
      <c r="H179" s="50"/>
      <c r="I179" s="50"/>
      <c r="J179" s="30">
        <v>0</v>
      </c>
      <c r="K179" s="10"/>
      <c r="L179" s="59"/>
    </row>
    <row r="180" spans="1:12" ht="12.75">
      <c r="A180" s="20" t="s">
        <v>5</v>
      </c>
      <c r="B180" s="20" t="s">
        <v>5</v>
      </c>
      <c r="C180" s="20"/>
      <c r="D180" s="20" t="s">
        <v>511</v>
      </c>
      <c r="E180" s="20" t="s">
        <v>5</v>
      </c>
      <c r="F180" s="20" t="s">
        <v>5</v>
      </c>
      <c r="G180" s="44" t="s">
        <v>5</v>
      </c>
      <c r="H180" s="44" t="s">
        <v>5</v>
      </c>
      <c r="I180" s="44"/>
      <c r="J180" s="52">
        <v>358.38373</v>
      </c>
      <c r="K180" s="20" t="s">
        <v>5</v>
      </c>
      <c r="L180" s="20" t="s">
        <v>5</v>
      </c>
    </row>
    <row r="181" spans="1:12" ht="12.75">
      <c r="A181" s="20" t="s">
        <v>5</v>
      </c>
      <c r="B181" s="20" t="s">
        <v>5</v>
      </c>
      <c r="C181" s="20" t="s">
        <v>266</v>
      </c>
      <c r="D181" s="20" t="s">
        <v>424</v>
      </c>
      <c r="E181" s="20" t="s">
        <v>5</v>
      </c>
      <c r="F181" s="20" t="s">
        <v>5</v>
      </c>
      <c r="G181" s="44" t="s">
        <v>5</v>
      </c>
      <c r="H181" s="44" t="s">
        <v>5</v>
      </c>
      <c r="I181" s="44"/>
      <c r="J181" s="52">
        <v>0</v>
      </c>
      <c r="K181" s="20" t="s">
        <v>5</v>
      </c>
      <c r="L181" s="20" t="s">
        <v>5</v>
      </c>
    </row>
    <row r="182" spans="1:12" ht="12.75">
      <c r="A182" s="10" t="s">
        <v>99</v>
      </c>
      <c r="B182" s="10" t="s">
        <v>260</v>
      </c>
      <c r="C182" s="10" t="s">
        <v>267</v>
      </c>
      <c r="D182" s="10" t="s">
        <v>425</v>
      </c>
      <c r="E182" s="10" t="s">
        <v>611</v>
      </c>
      <c r="F182" s="10"/>
      <c r="G182" s="30">
        <v>1</v>
      </c>
      <c r="H182" s="50"/>
      <c r="I182" s="50"/>
      <c r="J182" s="30">
        <v>0</v>
      </c>
      <c r="K182" s="10"/>
      <c r="L182" s="59"/>
    </row>
    <row r="183" spans="1:12" ht="12.75">
      <c r="A183" s="20" t="s">
        <v>5</v>
      </c>
      <c r="B183" s="20" t="s">
        <v>5</v>
      </c>
      <c r="C183" s="20" t="s">
        <v>17</v>
      </c>
      <c r="D183" s="20" t="s">
        <v>426</v>
      </c>
      <c r="E183" s="20" t="s">
        <v>5</v>
      </c>
      <c r="F183" s="20" t="s">
        <v>5</v>
      </c>
      <c r="G183" s="44" t="s">
        <v>5</v>
      </c>
      <c r="H183" s="44" t="s">
        <v>5</v>
      </c>
      <c r="I183" s="44"/>
      <c r="J183" s="52">
        <v>55.12946</v>
      </c>
      <c r="K183" s="20" t="s">
        <v>5</v>
      </c>
      <c r="L183" s="20" t="s">
        <v>5</v>
      </c>
    </row>
    <row r="184" spans="1:12" ht="12.75">
      <c r="A184" s="10" t="s">
        <v>100</v>
      </c>
      <c r="B184" s="10" t="s">
        <v>260</v>
      </c>
      <c r="C184" s="10" t="s">
        <v>268</v>
      </c>
      <c r="D184" s="10" t="s">
        <v>427</v>
      </c>
      <c r="E184" s="10" t="s">
        <v>612</v>
      </c>
      <c r="F184" s="10" t="s">
        <v>775</v>
      </c>
      <c r="G184" s="30">
        <v>175.25</v>
      </c>
      <c r="H184" s="50"/>
      <c r="I184" s="50"/>
      <c r="J184" s="30">
        <v>0</v>
      </c>
      <c r="K184" s="10"/>
      <c r="L184" s="59"/>
    </row>
    <row r="185" spans="1:12" ht="12.75">
      <c r="A185" s="10" t="s">
        <v>101</v>
      </c>
      <c r="B185" s="10" t="s">
        <v>260</v>
      </c>
      <c r="C185" s="10" t="s">
        <v>271</v>
      </c>
      <c r="D185" s="10" t="s">
        <v>430</v>
      </c>
      <c r="E185" s="10" t="s">
        <v>612</v>
      </c>
      <c r="F185" s="10"/>
      <c r="G185" s="30">
        <v>175.25</v>
      </c>
      <c r="H185" s="50"/>
      <c r="I185" s="50"/>
      <c r="J185" s="30">
        <v>0.00876</v>
      </c>
      <c r="K185" s="10"/>
      <c r="L185" s="59"/>
    </row>
    <row r="186" spans="1:12" ht="12.75">
      <c r="A186" s="10" t="s">
        <v>102</v>
      </c>
      <c r="B186" s="10" t="s">
        <v>260</v>
      </c>
      <c r="C186" s="10" t="s">
        <v>272</v>
      </c>
      <c r="D186" s="10" t="s">
        <v>431</v>
      </c>
      <c r="E186" s="10" t="s">
        <v>612</v>
      </c>
      <c r="F186" s="10" t="s">
        <v>776</v>
      </c>
      <c r="G186" s="30">
        <v>53.7</v>
      </c>
      <c r="H186" s="50"/>
      <c r="I186" s="50"/>
      <c r="J186" s="30">
        <v>6.8736</v>
      </c>
      <c r="K186" s="10"/>
      <c r="L186" s="59"/>
    </row>
    <row r="187" ht="12.75">
      <c r="F187" s="10" t="s">
        <v>777</v>
      </c>
    </row>
    <row r="188" spans="1:12" ht="12.75">
      <c r="A188" s="10" t="s">
        <v>103</v>
      </c>
      <c r="B188" s="10" t="s">
        <v>260</v>
      </c>
      <c r="C188" s="10" t="s">
        <v>273</v>
      </c>
      <c r="D188" s="10" t="s">
        <v>432</v>
      </c>
      <c r="E188" s="10" t="s">
        <v>612</v>
      </c>
      <c r="F188" s="10"/>
      <c r="G188" s="30">
        <v>53.7</v>
      </c>
      <c r="H188" s="50"/>
      <c r="I188" s="50"/>
      <c r="J188" s="30">
        <v>12.6195</v>
      </c>
      <c r="K188" s="10"/>
      <c r="L188" s="59"/>
    </row>
    <row r="189" spans="1:12" ht="12.75">
      <c r="A189" s="10" t="s">
        <v>104</v>
      </c>
      <c r="B189" s="10" t="s">
        <v>260</v>
      </c>
      <c r="C189" s="10" t="s">
        <v>274</v>
      </c>
      <c r="D189" s="10" t="s">
        <v>433</v>
      </c>
      <c r="E189" s="10" t="s">
        <v>612</v>
      </c>
      <c r="F189" s="10"/>
      <c r="G189" s="30">
        <v>53.7</v>
      </c>
      <c r="H189" s="50"/>
      <c r="I189" s="50"/>
      <c r="J189" s="30">
        <v>30.072</v>
      </c>
      <c r="K189" s="10"/>
      <c r="L189" s="59"/>
    </row>
    <row r="190" spans="1:12" ht="12.75">
      <c r="A190" s="10" t="s">
        <v>105</v>
      </c>
      <c r="B190" s="10" t="s">
        <v>260</v>
      </c>
      <c r="C190" s="10" t="s">
        <v>341</v>
      </c>
      <c r="D190" s="10" t="s">
        <v>512</v>
      </c>
      <c r="E190" s="10" t="s">
        <v>612</v>
      </c>
      <c r="F190" s="10" t="s">
        <v>778</v>
      </c>
      <c r="G190" s="30">
        <v>6.8</v>
      </c>
      <c r="H190" s="50"/>
      <c r="I190" s="50"/>
      <c r="J190" s="30">
        <v>2.8356</v>
      </c>
      <c r="K190" s="10"/>
      <c r="L190" s="59"/>
    </row>
    <row r="191" spans="1:12" ht="12.75">
      <c r="A191" s="10" t="s">
        <v>106</v>
      </c>
      <c r="B191" s="10" t="s">
        <v>260</v>
      </c>
      <c r="C191" s="10" t="s">
        <v>342</v>
      </c>
      <c r="D191" s="10" t="s">
        <v>513</v>
      </c>
      <c r="E191" s="10" t="s">
        <v>612</v>
      </c>
      <c r="F191" s="10" t="s">
        <v>778</v>
      </c>
      <c r="G191" s="30">
        <v>6.8</v>
      </c>
      <c r="H191" s="50"/>
      <c r="I191" s="50"/>
      <c r="J191" s="30">
        <v>2.72</v>
      </c>
      <c r="K191" s="10"/>
      <c r="L191" s="59"/>
    </row>
    <row r="192" spans="1:12" ht="12.75">
      <c r="A192" s="10" t="s">
        <v>107</v>
      </c>
      <c r="B192" s="10" t="s">
        <v>260</v>
      </c>
      <c r="C192" s="10" t="s">
        <v>343</v>
      </c>
      <c r="D192" s="10" t="s">
        <v>514</v>
      </c>
      <c r="E192" s="10" t="s">
        <v>616</v>
      </c>
      <c r="F192" s="10" t="s">
        <v>779</v>
      </c>
      <c r="G192" s="30">
        <v>5.7</v>
      </c>
      <c r="H192" s="50"/>
      <c r="I192" s="50"/>
      <c r="J192" s="30">
        <v>0</v>
      </c>
      <c r="K192" s="10" t="s">
        <v>889</v>
      </c>
      <c r="L192" s="59"/>
    </row>
    <row r="193" spans="1:12" ht="12.75">
      <c r="A193" s="20" t="s">
        <v>5</v>
      </c>
      <c r="B193" s="20" t="s">
        <v>5</v>
      </c>
      <c r="C193" s="20" t="s">
        <v>18</v>
      </c>
      <c r="D193" s="20" t="s">
        <v>436</v>
      </c>
      <c r="E193" s="20" t="s">
        <v>5</v>
      </c>
      <c r="F193" s="20" t="s">
        <v>5</v>
      </c>
      <c r="G193" s="44" t="s">
        <v>5</v>
      </c>
      <c r="H193" s="44" t="s">
        <v>5</v>
      </c>
      <c r="I193" s="44"/>
      <c r="J193" s="52">
        <v>0</v>
      </c>
      <c r="K193" s="20" t="s">
        <v>5</v>
      </c>
      <c r="L193" s="20" t="s">
        <v>5</v>
      </c>
    </row>
    <row r="194" spans="1:12" ht="12.75">
      <c r="A194" s="10" t="s">
        <v>108</v>
      </c>
      <c r="B194" s="10" t="s">
        <v>260</v>
      </c>
      <c r="C194" s="10" t="s">
        <v>277</v>
      </c>
      <c r="D194" s="10" t="s">
        <v>437</v>
      </c>
      <c r="E194" s="10" t="s">
        <v>615</v>
      </c>
      <c r="F194" s="10" t="s">
        <v>780</v>
      </c>
      <c r="G194" s="30">
        <v>64.09</v>
      </c>
      <c r="H194" s="50"/>
      <c r="I194" s="50"/>
      <c r="J194" s="30">
        <v>0</v>
      </c>
      <c r="K194" s="10"/>
      <c r="L194" s="59"/>
    </row>
    <row r="195" ht="12.75">
      <c r="F195" s="10" t="s">
        <v>781</v>
      </c>
    </row>
    <row r="196" spans="1:12" ht="12.75">
      <c r="A196" s="10" t="s">
        <v>109</v>
      </c>
      <c r="B196" s="10" t="s">
        <v>260</v>
      </c>
      <c r="C196" s="10" t="s">
        <v>278</v>
      </c>
      <c r="D196" s="10" t="s">
        <v>515</v>
      </c>
      <c r="E196" s="10" t="s">
        <v>615</v>
      </c>
      <c r="F196" s="10"/>
      <c r="G196" s="30">
        <v>64.09</v>
      </c>
      <c r="H196" s="50"/>
      <c r="I196" s="50"/>
      <c r="J196" s="30">
        <v>0</v>
      </c>
      <c r="K196" s="10"/>
      <c r="L196" s="59"/>
    </row>
    <row r="197" spans="1:12" ht="12.75">
      <c r="A197" s="10" t="s">
        <v>110</v>
      </c>
      <c r="B197" s="10" t="s">
        <v>260</v>
      </c>
      <c r="C197" s="10" t="s">
        <v>279</v>
      </c>
      <c r="D197" s="10" t="s">
        <v>439</v>
      </c>
      <c r="E197" s="10" t="s">
        <v>615</v>
      </c>
      <c r="F197" s="10"/>
      <c r="G197" s="30">
        <v>64.09</v>
      </c>
      <c r="H197" s="50"/>
      <c r="I197" s="50"/>
      <c r="J197" s="30">
        <v>0</v>
      </c>
      <c r="K197" s="10"/>
      <c r="L197" s="59"/>
    </row>
    <row r="198" spans="1:12" ht="12.75">
      <c r="A198" s="10" t="s">
        <v>111</v>
      </c>
      <c r="B198" s="10" t="s">
        <v>260</v>
      </c>
      <c r="C198" s="10" t="s">
        <v>280</v>
      </c>
      <c r="D198" s="10" t="s">
        <v>440</v>
      </c>
      <c r="E198" s="10" t="s">
        <v>615</v>
      </c>
      <c r="F198" s="10" t="s">
        <v>782</v>
      </c>
      <c r="G198" s="30">
        <v>96.31</v>
      </c>
      <c r="H198" s="50"/>
      <c r="I198" s="50"/>
      <c r="J198" s="30">
        <v>0</v>
      </c>
      <c r="K198" s="10" t="s">
        <v>872</v>
      </c>
      <c r="L198" s="59"/>
    </row>
    <row r="199" ht="12.75">
      <c r="F199" s="10" t="s">
        <v>783</v>
      </c>
    </row>
    <row r="200" spans="1:12" ht="12.75">
      <c r="A200" s="10" t="s">
        <v>112</v>
      </c>
      <c r="B200" s="10" t="s">
        <v>260</v>
      </c>
      <c r="C200" s="10" t="s">
        <v>281</v>
      </c>
      <c r="D200" s="10" t="s">
        <v>441</v>
      </c>
      <c r="E200" s="10" t="s">
        <v>615</v>
      </c>
      <c r="F200" s="10" t="s">
        <v>784</v>
      </c>
      <c r="G200" s="30">
        <v>25.85</v>
      </c>
      <c r="H200" s="50"/>
      <c r="I200" s="50"/>
      <c r="J200" s="30">
        <v>0</v>
      </c>
      <c r="K200" s="10"/>
      <c r="L200" s="59"/>
    </row>
    <row r="201" spans="1:12" ht="12.75">
      <c r="A201" s="20" t="s">
        <v>5</v>
      </c>
      <c r="B201" s="20" t="s">
        <v>5</v>
      </c>
      <c r="C201" s="20" t="s">
        <v>24</v>
      </c>
      <c r="D201" s="20" t="s">
        <v>442</v>
      </c>
      <c r="E201" s="20" t="s">
        <v>5</v>
      </c>
      <c r="F201" s="20" t="s">
        <v>5</v>
      </c>
      <c r="G201" s="44" t="s">
        <v>5</v>
      </c>
      <c r="H201" s="44" t="s">
        <v>5</v>
      </c>
      <c r="I201" s="44"/>
      <c r="J201" s="52">
        <v>0</v>
      </c>
      <c r="K201" s="20" t="s">
        <v>5</v>
      </c>
      <c r="L201" s="20" t="s">
        <v>5</v>
      </c>
    </row>
    <row r="202" spans="1:12" ht="12.75">
      <c r="A202" s="10" t="s">
        <v>113</v>
      </c>
      <c r="B202" s="10" t="s">
        <v>260</v>
      </c>
      <c r="C202" s="10" t="s">
        <v>284</v>
      </c>
      <c r="D202" s="10" t="s">
        <v>445</v>
      </c>
      <c r="E202" s="10" t="s">
        <v>612</v>
      </c>
      <c r="F202" s="10"/>
      <c r="G202" s="30">
        <v>336.34</v>
      </c>
      <c r="H202" s="50"/>
      <c r="I202" s="50"/>
      <c r="J202" s="30">
        <v>0</v>
      </c>
      <c r="K202" s="10"/>
      <c r="L202" s="59"/>
    </row>
    <row r="203" spans="1:12" ht="12.75">
      <c r="A203" s="10" t="s">
        <v>114</v>
      </c>
      <c r="B203" s="10" t="s">
        <v>260</v>
      </c>
      <c r="C203" s="10" t="s">
        <v>282</v>
      </c>
      <c r="D203" s="10" t="s">
        <v>443</v>
      </c>
      <c r="E203" s="10" t="s">
        <v>612</v>
      </c>
      <c r="F203" s="10"/>
      <c r="G203" s="30">
        <v>200.56</v>
      </c>
      <c r="H203" s="50"/>
      <c r="I203" s="50"/>
      <c r="J203" s="30">
        <v>0</v>
      </c>
      <c r="K203" s="10"/>
      <c r="L203" s="59"/>
    </row>
    <row r="204" spans="1:12" ht="12.75">
      <c r="A204" s="10" t="s">
        <v>115</v>
      </c>
      <c r="B204" s="10" t="s">
        <v>260</v>
      </c>
      <c r="C204" s="10" t="s">
        <v>344</v>
      </c>
      <c r="D204" s="10" t="s">
        <v>516</v>
      </c>
      <c r="E204" s="10" t="s">
        <v>615</v>
      </c>
      <c r="F204" s="10" t="s">
        <v>785</v>
      </c>
      <c r="G204" s="30">
        <v>4.77</v>
      </c>
      <c r="H204" s="50"/>
      <c r="I204" s="50"/>
      <c r="J204" s="30">
        <v>0</v>
      </c>
      <c r="K204" s="10" t="s">
        <v>890</v>
      </c>
      <c r="L204" s="59"/>
    </row>
    <row r="205" spans="1:12" ht="12.75">
      <c r="A205" s="10" t="s">
        <v>116</v>
      </c>
      <c r="B205" s="10" t="s">
        <v>260</v>
      </c>
      <c r="C205" s="10" t="s">
        <v>283</v>
      </c>
      <c r="D205" s="10" t="s">
        <v>444</v>
      </c>
      <c r="E205" s="10" t="s">
        <v>612</v>
      </c>
      <c r="F205" s="10" t="s">
        <v>786</v>
      </c>
      <c r="G205" s="30">
        <v>33.46</v>
      </c>
      <c r="H205" s="50"/>
      <c r="I205" s="50"/>
      <c r="J205" s="30">
        <v>0</v>
      </c>
      <c r="K205" s="10"/>
      <c r="L205" s="59"/>
    </row>
    <row r="206" spans="1:12" ht="12.75">
      <c r="A206" s="20" t="s">
        <v>5</v>
      </c>
      <c r="B206" s="20" t="s">
        <v>5</v>
      </c>
      <c r="C206" s="20" t="s">
        <v>39</v>
      </c>
      <c r="D206" s="20" t="s">
        <v>517</v>
      </c>
      <c r="E206" s="20" t="s">
        <v>5</v>
      </c>
      <c r="F206" s="20" t="s">
        <v>5</v>
      </c>
      <c r="G206" s="44" t="s">
        <v>5</v>
      </c>
      <c r="H206" s="44" t="s">
        <v>5</v>
      </c>
      <c r="I206" s="44"/>
      <c r="J206" s="52">
        <v>9.00895</v>
      </c>
      <c r="K206" s="20" t="s">
        <v>5</v>
      </c>
      <c r="L206" s="20" t="s">
        <v>5</v>
      </c>
    </row>
    <row r="207" spans="1:12" ht="12.75">
      <c r="A207" s="10" t="s">
        <v>117</v>
      </c>
      <c r="B207" s="10" t="s">
        <v>260</v>
      </c>
      <c r="C207" s="10" t="s">
        <v>345</v>
      </c>
      <c r="D207" s="10" t="s">
        <v>518</v>
      </c>
      <c r="E207" s="10" t="s">
        <v>616</v>
      </c>
      <c r="F207" s="10" t="s">
        <v>787</v>
      </c>
      <c r="G207" s="30">
        <v>104.85</v>
      </c>
      <c r="H207" s="50"/>
      <c r="I207" s="50"/>
      <c r="J207" s="30">
        <v>1.24142</v>
      </c>
      <c r="K207" s="10"/>
      <c r="L207" s="59"/>
    </row>
    <row r="208" spans="1:12" ht="12.75">
      <c r="A208" s="10" t="s">
        <v>118</v>
      </c>
      <c r="B208" s="10" t="s">
        <v>260</v>
      </c>
      <c r="C208" s="10" t="s">
        <v>346</v>
      </c>
      <c r="D208" s="10" t="s">
        <v>519</v>
      </c>
      <c r="E208" s="10" t="s">
        <v>613</v>
      </c>
      <c r="F208" s="10" t="s">
        <v>41</v>
      </c>
      <c r="G208" s="30">
        <v>35</v>
      </c>
      <c r="H208" s="50"/>
      <c r="I208" s="50"/>
      <c r="J208" s="30">
        <v>2.45</v>
      </c>
      <c r="K208" s="10"/>
      <c r="L208" s="59"/>
    </row>
    <row r="209" spans="1:12" ht="12.75">
      <c r="A209" s="10" t="s">
        <v>119</v>
      </c>
      <c r="B209" s="10" t="s">
        <v>260</v>
      </c>
      <c r="C209" s="10" t="s">
        <v>347</v>
      </c>
      <c r="D209" s="10" t="s">
        <v>520</v>
      </c>
      <c r="E209" s="10" t="s">
        <v>621</v>
      </c>
      <c r="F209" s="10"/>
      <c r="G209" s="30">
        <v>1.0485</v>
      </c>
      <c r="H209" s="50"/>
      <c r="I209" s="50"/>
      <c r="J209" s="30">
        <v>5.31753</v>
      </c>
      <c r="K209" s="10" t="s">
        <v>891</v>
      </c>
      <c r="L209" s="59"/>
    </row>
    <row r="210" spans="1:12" ht="12.75">
      <c r="A210" s="10" t="s">
        <v>120</v>
      </c>
      <c r="B210" s="10" t="s">
        <v>260</v>
      </c>
      <c r="C210" s="10" t="s">
        <v>348</v>
      </c>
      <c r="D210" s="10" t="s">
        <v>521</v>
      </c>
      <c r="E210" s="10" t="s">
        <v>614</v>
      </c>
      <c r="F210" s="10" t="s">
        <v>788</v>
      </c>
      <c r="G210" s="30">
        <v>9.01</v>
      </c>
      <c r="H210" s="50"/>
      <c r="I210" s="50"/>
      <c r="J210" s="30">
        <v>0</v>
      </c>
      <c r="K210" s="10"/>
      <c r="L210" s="59"/>
    </row>
    <row r="211" spans="1:12" ht="12.75">
      <c r="A211" s="20" t="s">
        <v>5</v>
      </c>
      <c r="B211" s="20" t="s">
        <v>5</v>
      </c>
      <c r="C211" s="20" t="s">
        <v>63</v>
      </c>
      <c r="D211" s="20" t="s">
        <v>461</v>
      </c>
      <c r="E211" s="20" t="s">
        <v>5</v>
      </c>
      <c r="F211" s="20" t="s">
        <v>5</v>
      </c>
      <c r="G211" s="44" t="s">
        <v>5</v>
      </c>
      <c r="H211" s="44" t="s">
        <v>5</v>
      </c>
      <c r="I211" s="44"/>
      <c r="J211" s="52">
        <v>124.70446</v>
      </c>
      <c r="K211" s="20" t="s">
        <v>5</v>
      </c>
      <c r="L211" s="20" t="s">
        <v>5</v>
      </c>
    </row>
    <row r="212" spans="1:12" ht="12.75">
      <c r="A212" s="10" t="s">
        <v>121</v>
      </c>
      <c r="B212" s="10" t="s">
        <v>260</v>
      </c>
      <c r="C212" s="10" t="s">
        <v>349</v>
      </c>
      <c r="D212" s="10" t="s">
        <v>522</v>
      </c>
      <c r="E212" s="10" t="s">
        <v>612</v>
      </c>
      <c r="F212" s="10" t="s">
        <v>789</v>
      </c>
      <c r="G212" s="30">
        <v>95.06</v>
      </c>
      <c r="H212" s="50"/>
      <c r="I212" s="50"/>
      <c r="J212" s="30">
        <v>124.70446</v>
      </c>
      <c r="K212" s="10" t="s">
        <v>892</v>
      </c>
      <c r="L212" s="59"/>
    </row>
    <row r="213" ht="12.75">
      <c r="F213" s="10" t="s">
        <v>777</v>
      </c>
    </row>
    <row r="214" spans="1:12" ht="12.75">
      <c r="A214" s="10" t="s">
        <v>122</v>
      </c>
      <c r="B214" s="10" t="s">
        <v>260</v>
      </c>
      <c r="C214" s="10" t="s">
        <v>300</v>
      </c>
      <c r="D214" s="10" t="s">
        <v>464</v>
      </c>
      <c r="E214" s="10" t="s">
        <v>614</v>
      </c>
      <c r="F214" s="10"/>
      <c r="G214" s="30">
        <v>124.7045</v>
      </c>
      <c r="H214" s="50"/>
      <c r="I214" s="50"/>
      <c r="J214" s="30">
        <v>0</v>
      </c>
      <c r="K214" s="10"/>
      <c r="L214" s="59"/>
    </row>
    <row r="215" spans="1:12" ht="12.75">
      <c r="A215" s="10" t="s">
        <v>123</v>
      </c>
      <c r="B215" s="10" t="s">
        <v>260</v>
      </c>
      <c r="C215" s="10" t="s">
        <v>301</v>
      </c>
      <c r="D215" s="10" t="s">
        <v>465</v>
      </c>
      <c r="E215" s="10" t="s">
        <v>614</v>
      </c>
      <c r="F215" s="10" t="s">
        <v>790</v>
      </c>
      <c r="G215" s="30">
        <v>498.82</v>
      </c>
      <c r="H215" s="50"/>
      <c r="I215" s="50"/>
      <c r="J215" s="30">
        <v>0</v>
      </c>
      <c r="K215" s="10"/>
      <c r="L215" s="59"/>
    </row>
    <row r="216" spans="1:12" ht="12.75">
      <c r="A216" s="20" t="s">
        <v>5</v>
      </c>
      <c r="B216" s="20" t="s">
        <v>5</v>
      </c>
      <c r="C216" s="20" t="s">
        <v>65</v>
      </c>
      <c r="D216" s="20" t="s">
        <v>466</v>
      </c>
      <c r="E216" s="20" t="s">
        <v>5</v>
      </c>
      <c r="F216" s="20" t="s">
        <v>5</v>
      </c>
      <c r="G216" s="44" t="s">
        <v>5</v>
      </c>
      <c r="H216" s="44" t="s">
        <v>5</v>
      </c>
      <c r="I216" s="44"/>
      <c r="J216" s="52">
        <v>93.30882</v>
      </c>
      <c r="K216" s="20" t="s">
        <v>5</v>
      </c>
      <c r="L216" s="20" t="s">
        <v>5</v>
      </c>
    </row>
    <row r="217" spans="1:12" ht="12.75">
      <c r="A217" s="10" t="s">
        <v>124</v>
      </c>
      <c r="B217" s="10" t="s">
        <v>260</v>
      </c>
      <c r="C217" s="10" t="s">
        <v>303</v>
      </c>
      <c r="D217" s="10" t="s">
        <v>468</v>
      </c>
      <c r="E217" s="10" t="s">
        <v>612</v>
      </c>
      <c r="F217" s="10" t="s">
        <v>791</v>
      </c>
      <c r="G217" s="30">
        <v>156.07</v>
      </c>
      <c r="H217" s="50"/>
      <c r="I217" s="50"/>
      <c r="J217" s="30">
        <v>90.28337</v>
      </c>
      <c r="K217" s="10" t="s">
        <v>876</v>
      </c>
      <c r="L217" s="59"/>
    </row>
    <row r="218" ht="12.75">
      <c r="F218" s="10" t="s">
        <v>792</v>
      </c>
    </row>
    <row r="219" ht="12.75">
      <c r="F219" s="10" t="s">
        <v>793</v>
      </c>
    </row>
    <row r="220" spans="1:12" ht="12.75">
      <c r="A220" s="10" t="s">
        <v>125</v>
      </c>
      <c r="B220" s="10" t="s">
        <v>260</v>
      </c>
      <c r="C220" s="10" t="s">
        <v>303</v>
      </c>
      <c r="D220" s="10" t="s">
        <v>523</v>
      </c>
      <c r="E220" s="10" t="s">
        <v>612</v>
      </c>
      <c r="F220" s="10" t="s">
        <v>794</v>
      </c>
      <c r="G220" s="30">
        <v>5.23</v>
      </c>
      <c r="H220" s="50"/>
      <c r="I220" s="50"/>
      <c r="J220" s="30">
        <v>3.02545</v>
      </c>
      <c r="K220" s="10" t="s">
        <v>876</v>
      </c>
      <c r="L220" s="59"/>
    </row>
    <row r="221" spans="1:12" ht="12.75">
      <c r="A221" s="10" t="s">
        <v>126</v>
      </c>
      <c r="B221" s="10" t="s">
        <v>260</v>
      </c>
      <c r="C221" s="10" t="s">
        <v>296</v>
      </c>
      <c r="D221" s="10" t="s">
        <v>459</v>
      </c>
      <c r="E221" s="10" t="s">
        <v>614</v>
      </c>
      <c r="F221" s="10"/>
      <c r="G221" s="30">
        <v>93.3088</v>
      </c>
      <c r="H221" s="50"/>
      <c r="I221" s="50"/>
      <c r="J221" s="30">
        <v>0</v>
      </c>
      <c r="K221" s="10"/>
      <c r="L221" s="59"/>
    </row>
    <row r="222" spans="1:12" ht="12.75">
      <c r="A222" s="10" t="s">
        <v>127</v>
      </c>
      <c r="B222" s="10" t="s">
        <v>260</v>
      </c>
      <c r="C222" s="10" t="s">
        <v>297</v>
      </c>
      <c r="D222" s="10" t="s">
        <v>460</v>
      </c>
      <c r="E222" s="10" t="s">
        <v>614</v>
      </c>
      <c r="F222" s="10" t="s">
        <v>795</v>
      </c>
      <c r="G222" s="30">
        <v>186.62</v>
      </c>
      <c r="H222" s="50"/>
      <c r="I222" s="50"/>
      <c r="J222" s="30">
        <v>0</v>
      </c>
      <c r="K222" s="10"/>
      <c r="L222" s="59"/>
    </row>
    <row r="223" spans="1:12" ht="12.75">
      <c r="A223" s="20" t="s">
        <v>5</v>
      </c>
      <c r="B223" s="20" t="s">
        <v>5</v>
      </c>
      <c r="C223" s="20" t="s">
        <v>95</v>
      </c>
      <c r="D223" s="20" t="s">
        <v>473</v>
      </c>
      <c r="E223" s="20" t="s">
        <v>5</v>
      </c>
      <c r="F223" s="20" t="s">
        <v>5</v>
      </c>
      <c r="G223" s="44" t="s">
        <v>5</v>
      </c>
      <c r="H223" s="44" t="s">
        <v>5</v>
      </c>
      <c r="I223" s="44"/>
      <c r="J223" s="52">
        <v>0</v>
      </c>
      <c r="K223" s="20" t="s">
        <v>5</v>
      </c>
      <c r="L223" s="20" t="s">
        <v>5</v>
      </c>
    </row>
    <row r="224" spans="1:12" ht="12.75">
      <c r="A224" s="10" t="s">
        <v>128</v>
      </c>
      <c r="B224" s="10" t="s">
        <v>260</v>
      </c>
      <c r="C224" s="10" t="s">
        <v>309</v>
      </c>
      <c r="D224" s="10" t="s">
        <v>474</v>
      </c>
      <c r="E224" s="10" t="s">
        <v>611</v>
      </c>
      <c r="F224" s="10"/>
      <c r="G224" s="30">
        <v>1</v>
      </c>
      <c r="H224" s="50"/>
      <c r="I224" s="50"/>
      <c r="J224" s="30">
        <v>0</v>
      </c>
      <c r="K224" s="10"/>
      <c r="L224" s="59"/>
    </row>
    <row r="225" spans="1:12" ht="12.75">
      <c r="A225" s="10" t="s">
        <v>129</v>
      </c>
      <c r="B225" s="10" t="s">
        <v>260</v>
      </c>
      <c r="C225" s="10" t="s">
        <v>310</v>
      </c>
      <c r="D225" s="10" t="s">
        <v>475</v>
      </c>
      <c r="E225" s="10" t="s">
        <v>619</v>
      </c>
      <c r="F225" s="10"/>
      <c r="G225" s="30">
        <v>5</v>
      </c>
      <c r="H225" s="50"/>
      <c r="I225" s="50"/>
      <c r="J225" s="30">
        <v>0</v>
      </c>
      <c r="K225" s="10"/>
      <c r="L225" s="59"/>
    </row>
    <row r="226" spans="1:12" ht="12.75">
      <c r="A226" s="20" t="s">
        <v>5</v>
      </c>
      <c r="B226" s="20" t="s">
        <v>5</v>
      </c>
      <c r="C226" s="20" t="s">
        <v>97</v>
      </c>
      <c r="D226" s="20" t="s">
        <v>476</v>
      </c>
      <c r="E226" s="20" t="s">
        <v>5</v>
      </c>
      <c r="F226" s="20" t="s">
        <v>5</v>
      </c>
      <c r="G226" s="44" t="s">
        <v>5</v>
      </c>
      <c r="H226" s="44" t="s">
        <v>5</v>
      </c>
      <c r="I226" s="44"/>
      <c r="J226" s="52">
        <v>64.80204</v>
      </c>
      <c r="K226" s="20" t="s">
        <v>5</v>
      </c>
      <c r="L226" s="20" t="s">
        <v>5</v>
      </c>
    </row>
    <row r="227" spans="1:12" ht="12.75">
      <c r="A227" s="10" t="s">
        <v>130</v>
      </c>
      <c r="B227" s="10" t="s">
        <v>260</v>
      </c>
      <c r="C227" s="10" t="s">
        <v>311</v>
      </c>
      <c r="D227" s="10" t="s">
        <v>477</v>
      </c>
      <c r="E227" s="10" t="s">
        <v>616</v>
      </c>
      <c r="F227" s="10" t="s">
        <v>796</v>
      </c>
      <c r="G227" s="30">
        <v>107.4</v>
      </c>
      <c r="H227" s="50"/>
      <c r="I227" s="50"/>
      <c r="J227" s="30">
        <v>0</v>
      </c>
      <c r="K227" s="10"/>
      <c r="L227" s="59"/>
    </row>
    <row r="228" spans="1:12" ht="12.75">
      <c r="A228" s="10" t="s">
        <v>131</v>
      </c>
      <c r="B228" s="10" t="s">
        <v>260</v>
      </c>
      <c r="C228" s="10" t="s">
        <v>312</v>
      </c>
      <c r="D228" s="10" t="s">
        <v>478</v>
      </c>
      <c r="E228" s="10" t="s">
        <v>616</v>
      </c>
      <c r="F228" s="10"/>
      <c r="G228" s="30">
        <v>107.4</v>
      </c>
      <c r="H228" s="50"/>
      <c r="I228" s="50"/>
      <c r="J228" s="30">
        <v>0</v>
      </c>
      <c r="K228" s="10"/>
      <c r="L228" s="59"/>
    </row>
    <row r="229" spans="1:12" ht="12.75">
      <c r="A229" s="10" t="s">
        <v>132</v>
      </c>
      <c r="B229" s="10" t="s">
        <v>260</v>
      </c>
      <c r="C229" s="10" t="s">
        <v>313</v>
      </c>
      <c r="D229" s="10" t="s">
        <v>479</v>
      </c>
      <c r="E229" s="10" t="s">
        <v>616</v>
      </c>
      <c r="F229" s="10"/>
      <c r="G229" s="30">
        <v>107.4</v>
      </c>
      <c r="H229" s="50"/>
      <c r="I229" s="50"/>
      <c r="J229" s="30">
        <v>0.46182</v>
      </c>
      <c r="K229" s="10"/>
      <c r="L229" s="59"/>
    </row>
    <row r="230" spans="1:12" ht="12.75">
      <c r="A230" s="10" t="s">
        <v>133</v>
      </c>
      <c r="B230" s="10" t="s">
        <v>260</v>
      </c>
      <c r="C230" s="10" t="s">
        <v>304</v>
      </c>
      <c r="D230" s="10" t="s">
        <v>470</v>
      </c>
      <c r="E230" s="10" t="s">
        <v>616</v>
      </c>
      <c r="F230" s="10" t="s">
        <v>797</v>
      </c>
      <c r="G230" s="30">
        <v>214.8</v>
      </c>
      <c r="H230" s="50"/>
      <c r="I230" s="50"/>
      <c r="J230" s="30">
        <v>20.23416</v>
      </c>
      <c r="K230" s="10" t="s">
        <v>893</v>
      </c>
      <c r="L230" s="59"/>
    </row>
    <row r="231" spans="1:12" ht="12.75">
      <c r="A231" s="10" t="s">
        <v>134</v>
      </c>
      <c r="B231" s="10" t="s">
        <v>260</v>
      </c>
      <c r="C231" s="10" t="s">
        <v>306</v>
      </c>
      <c r="D231" s="10" t="s">
        <v>471</v>
      </c>
      <c r="E231" s="10" t="s">
        <v>616</v>
      </c>
      <c r="F231" s="10" t="s">
        <v>796</v>
      </c>
      <c r="G231" s="30">
        <v>107.4</v>
      </c>
      <c r="H231" s="50"/>
      <c r="I231" s="50"/>
      <c r="J231" s="30">
        <v>20.45863</v>
      </c>
      <c r="K231" s="10" t="s">
        <v>879</v>
      </c>
      <c r="L231" s="59"/>
    </row>
    <row r="232" spans="1:12" ht="12.75">
      <c r="A232" s="10" t="s">
        <v>135</v>
      </c>
      <c r="B232" s="10" t="s">
        <v>260</v>
      </c>
      <c r="C232" s="10" t="s">
        <v>305</v>
      </c>
      <c r="D232" s="10" t="s">
        <v>471</v>
      </c>
      <c r="E232" s="10" t="s">
        <v>616</v>
      </c>
      <c r="F232" s="10" t="s">
        <v>798</v>
      </c>
      <c r="G232" s="30">
        <v>109.1</v>
      </c>
      <c r="H232" s="50"/>
      <c r="I232" s="50"/>
      <c r="J232" s="30">
        <v>23.64743</v>
      </c>
      <c r="K232" s="10" t="s">
        <v>894</v>
      </c>
      <c r="L232" s="59"/>
    </row>
    <row r="233" spans="1:12" ht="12.75">
      <c r="A233" s="20" t="s">
        <v>5</v>
      </c>
      <c r="B233" s="20" t="s">
        <v>5</v>
      </c>
      <c r="C233" s="20" t="s">
        <v>350</v>
      </c>
      <c r="D233" s="20" t="s">
        <v>524</v>
      </c>
      <c r="E233" s="20" t="s">
        <v>5</v>
      </c>
      <c r="F233" s="20" t="s">
        <v>5</v>
      </c>
      <c r="G233" s="44" t="s">
        <v>5</v>
      </c>
      <c r="H233" s="44" t="s">
        <v>5</v>
      </c>
      <c r="I233" s="44"/>
      <c r="J233" s="52">
        <v>0</v>
      </c>
      <c r="K233" s="20" t="s">
        <v>5</v>
      </c>
      <c r="L233" s="20" t="s">
        <v>5</v>
      </c>
    </row>
    <row r="234" spans="1:12" ht="12.75">
      <c r="A234" s="10" t="s">
        <v>136</v>
      </c>
      <c r="B234" s="10" t="s">
        <v>260</v>
      </c>
      <c r="C234" s="10" t="s">
        <v>351</v>
      </c>
      <c r="D234" s="10" t="s">
        <v>525</v>
      </c>
      <c r="E234" s="10" t="s">
        <v>611</v>
      </c>
      <c r="F234" s="10"/>
      <c r="G234" s="30">
        <v>1</v>
      </c>
      <c r="H234" s="50"/>
      <c r="I234" s="50"/>
      <c r="J234" s="30">
        <v>0</v>
      </c>
      <c r="K234" s="10" t="s">
        <v>895</v>
      </c>
      <c r="L234" s="59"/>
    </row>
    <row r="235" spans="1:12" ht="12.75">
      <c r="A235" s="20" t="s">
        <v>5</v>
      </c>
      <c r="B235" s="20" t="s">
        <v>5</v>
      </c>
      <c r="C235" s="20" t="s">
        <v>352</v>
      </c>
      <c r="D235" s="20" t="s">
        <v>526</v>
      </c>
      <c r="E235" s="20" t="s">
        <v>5</v>
      </c>
      <c r="F235" s="20" t="s">
        <v>5</v>
      </c>
      <c r="G235" s="44" t="s">
        <v>5</v>
      </c>
      <c r="H235" s="44" t="s">
        <v>5</v>
      </c>
      <c r="I235" s="44"/>
      <c r="J235" s="52">
        <v>0</v>
      </c>
      <c r="K235" s="20" t="s">
        <v>5</v>
      </c>
      <c r="L235" s="20" t="s">
        <v>5</v>
      </c>
    </row>
    <row r="236" spans="1:12" ht="12.75">
      <c r="A236" s="10" t="s">
        <v>137</v>
      </c>
      <c r="B236" s="10" t="s">
        <v>260</v>
      </c>
      <c r="C236" s="10" t="s">
        <v>275</v>
      </c>
      <c r="D236" s="10" t="s">
        <v>434</v>
      </c>
      <c r="E236" s="10" t="s">
        <v>614</v>
      </c>
      <c r="F236" s="10" t="s">
        <v>799</v>
      </c>
      <c r="G236" s="30">
        <v>55.13</v>
      </c>
      <c r="H236" s="50"/>
      <c r="I236" s="50"/>
      <c r="J236" s="30">
        <v>0</v>
      </c>
      <c r="K236" s="10"/>
      <c r="L236" s="59"/>
    </row>
    <row r="237" spans="1:12" ht="12.75">
      <c r="A237" s="10" t="s">
        <v>138</v>
      </c>
      <c r="B237" s="10" t="s">
        <v>260</v>
      </c>
      <c r="C237" s="10" t="s">
        <v>276</v>
      </c>
      <c r="D237" s="10" t="s">
        <v>435</v>
      </c>
      <c r="E237" s="10" t="s">
        <v>614</v>
      </c>
      <c r="F237" s="10" t="s">
        <v>800</v>
      </c>
      <c r="G237" s="30">
        <v>441</v>
      </c>
      <c r="H237" s="50"/>
      <c r="I237" s="50"/>
      <c r="J237" s="30">
        <v>0</v>
      </c>
      <c r="K237" s="10"/>
      <c r="L237" s="59"/>
    </row>
    <row r="238" spans="1:12" ht="12.75">
      <c r="A238" s="20" t="s">
        <v>5</v>
      </c>
      <c r="B238" s="20" t="s">
        <v>5</v>
      </c>
      <c r="C238" s="20"/>
      <c r="D238" s="20" t="s">
        <v>487</v>
      </c>
      <c r="E238" s="20" t="s">
        <v>5</v>
      </c>
      <c r="F238" s="20" t="s">
        <v>5</v>
      </c>
      <c r="G238" s="44" t="s">
        <v>5</v>
      </c>
      <c r="H238" s="44" t="s">
        <v>5</v>
      </c>
      <c r="I238" s="44"/>
      <c r="J238" s="52">
        <v>11.43</v>
      </c>
      <c r="K238" s="20" t="s">
        <v>5</v>
      </c>
      <c r="L238" s="20" t="s">
        <v>5</v>
      </c>
    </row>
    <row r="239" spans="1:12" ht="12.75">
      <c r="A239" s="10" t="s">
        <v>139</v>
      </c>
      <c r="B239" s="10" t="s">
        <v>260</v>
      </c>
      <c r="C239" s="10" t="s">
        <v>322</v>
      </c>
      <c r="D239" s="10" t="s">
        <v>489</v>
      </c>
      <c r="E239" s="10" t="s">
        <v>620</v>
      </c>
      <c r="F239" s="10" t="s">
        <v>801</v>
      </c>
      <c r="G239" s="30">
        <v>11.43</v>
      </c>
      <c r="H239" s="50"/>
      <c r="I239" s="50"/>
      <c r="J239" s="30">
        <v>11.43</v>
      </c>
      <c r="K239" s="10"/>
      <c r="L239" s="59"/>
    </row>
    <row r="240" spans="1:12" ht="12.75">
      <c r="A240" s="20" t="s">
        <v>5</v>
      </c>
      <c r="B240" s="20" t="s">
        <v>5</v>
      </c>
      <c r="C240" s="20"/>
      <c r="D240" s="20" t="s">
        <v>527</v>
      </c>
      <c r="E240" s="20" t="s">
        <v>5</v>
      </c>
      <c r="F240" s="20" t="s">
        <v>5</v>
      </c>
      <c r="G240" s="44" t="s">
        <v>5</v>
      </c>
      <c r="H240" s="44" t="s">
        <v>5</v>
      </c>
      <c r="I240" s="44"/>
      <c r="J240" s="52">
        <v>111.78189</v>
      </c>
      <c r="K240" s="20" t="s">
        <v>5</v>
      </c>
      <c r="L240" s="20" t="s">
        <v>5</v>
      </c>
    </row>
    <row r="241" spans="1:12" ht="12.75">
      <c r="A241" s="20" t="s">
        <v>5</v>
      </c>
      <c r="B241" s="20" t="s">
        <v>5</v>
      </c>
      <c r="C241" s="20" t="s">
        <v>266</v>
      </c>
      <c r="D241" s="20" t="s">
        <v>424</v>
      </c>
      <c r="E241" s="20" t="s">
        <v>5</v>
      </c>
      <c r="F241" s="20" t="s">
        <v>5</v>
      </c>
      <c r="G241" s="44" t="s">
        <v>5</v>
      </c>
      <c r="H241" s="44" t="s">
        <v>5</v>
      </c>
      <c r="I241" s="44"/>
      <c r="J241" s="52">
        <v>0</v>
      </c>
      <c r="K241" s="20" t="s">
        <v>5</v>
      </c>
      <c r="L241" s="20" t="s">
        <v>5</v>
      </c>
    </row>
    <row r="242" spans="1:12" ht="12.75">
      <c r="A242" s="10" t="s">
        <v>140</v>
      </c>
      <c r="B242" s="10" t="s">
        <v>261</v>
      </c>
      <c r="C242" s="10" t="s">
        <v>267</v>
      </c>
      <c r="D242" s="10" t="s">
        <v>528</v>
      </c>
      <c r="E242" s="10" t="s">
        <v>611</v>
      </c>
      <c r="F242" s="10"/>
      <c r="G242" s="30">
        <v>1</v>
      </c>
      <c r="H242" s="50"/>
      <c r="I242" s="50"/>
      <c r="J242" s="30">
        <v>0</v>
      </c>
      <c r="K242" s="10"/>
      <c r="L242" s="59"/>
    </row>
    <row r="243" spans="1:12" ht="12.75">
      <c r="A243" s="20" t="s">
        <v>5</v>
      </c>
      <c r="B243" s="20" t="s">
        <v>5</v>
      </c>
      <c r="C243" s="20" t="s">
        <v>19</v>
      </c>
      <c r="D243" s="20" t="s">
        <v>529</v>
      </c>
      <c r="E243" s="20" t="s">
        <v>5</v>
      </c>
      <c r="F243" s="20" t="s">
        <v>5</v>
      </c>
      <c r="G243" s="44" t="s">
        <v>5</v>
      </c>
      <c r="H243" s="44" t="s">
        <v>5</v>
      </c>
      <c r="I243" s="44"/>
      <c r="J243" s="52">
        <v>0</v>
      </c>
      <c r="K243" s="20" t="s">
        <v>5</v>
      </c>
      <c r="L243" s="20" t="s">
        <v>5</v>
      </c>
    </row>
    <row r="244" spans="1:12" ht="12.75">
      <c r="A244" s="10" t="s">
        <v>141</v>
      </c>
      <c r="B244" s="10" t="s">
        <v>261</v>
      </c>
      <c r="C244" s="10" t="s">
        <v>289</v>
      </c>
      <c r="D244" s="10" t="s">
        <v>451</v>
      </c>
      <c r="E244" s="10" t="s">
        <v>615</v>
      </c>
      <c r="F244" s="10" t="s">
        <v>802</v>
      </c>
      <c r="G244" s="30">
        <v>106.5</v>
      </c>
      <c r="H244" s="50"/>
      <c r="I244" s="50"/>
      <c r="J244" s="30">
        <v>0</v>
      </c>
      <c r="K244" s="10" t="s">
        <v>896</v>
      </c>
      <c r="L244" s="59"/>
    </row>
    <row r="245" spans="1:12" ht="12.75">
      <c r="A245" s="10" t="s">
        <v>142</v>
      </c>
      <c r="B245" s="10" t="s">
        <v>261</v>
      </c>
      <c r="C245" s="10" t="s">
        <v>353</v>
      </c>
      <c r="D245" s="10" t="s">
        <v>530</v>
      </c>
      <c r="E245" s="10" t="s">
        <v>615</v>
      </c>
      <c r="F245" s="10"/>
      <c r="G245" s="30">
        <v>106.5</v>
      </c>
      <c r="H245" s="50"/>
      <c r="I245" s="50"/>
      <c r="J245" s="30">
        <v>0</v>
      </c>
      <c r="K245" s="10"/>
      <c r="L245" s="59"/>
    </row>
    <row r="246" spans="1:12" ht="12.75">
      <c r="A246" s="10" t="s">
        <v>143</v>
      </c>
      <c r="B246" s="10" t="s">
        <v>261</v>
      </c>
      <c r="C246" s="10" t="s">
        <v>334</v>
      </c>
      <c r="D246" s="10" t="s">
        <v>503</v>
      </c>
      <c r="E246" s="10" t="s">
        <v>615</v>
      </c>
      <c r="F246" s="10" t="s">
        <v>803</v>
      </c>
      <c r="G246" s="30">
        <v>21.87</v>
      </c>
      <c r="H246" s="50"/>
      <c r="I246" s="50"/>
      <c r="J246" s="30">
        <v>0</v>
      </c>
      <c r="K246" s="10" t="s">
        <v>897</v>
      </c>
      <c r="L246" s="59"/>
    </row>
    <row r="247" spans="1:12" ht="12.75">
      <c r="A247" s="20" t="s">
        <v>5</v>
      </c>
      <c r="B247" s="20" t="s">
        <v>5</v>
      </c>
      <c r="C247" s="20" t="s">
        <v>20</v>
      </c>
      <c r="D247" s="20" t="s">
        <v>531</v>
      </c>
      <c r="E247" s="20" t="s">
        <v>5</v>
      </c>
      <c r="F247" s="20" t="s">
        <v>5</v>
      </c>
      <c r="G247" s="44" t="s">
        <v>5</v>
      </c>
      <c r="H247" s="44" t="s">
        <v>5</v>
      </c>
      <c r="I247" s="44"/>
      <c r="J247" s="52">
        <v>0.06949</v>
      </c>
      <c r="K247" s="20" t="s">
        <v>5</v>
      </c>
      <c r="L247" s="20" t="s">
        <v>5</v>
      </c>
    </row>
    <row r="248" spans="1:12" ht="12.75">
      <c r="A248" s="10" t="s">
        <v>144</v>
      </c>
      <c r="B248" s="10" t="s">
        <v>261</v>
      </c>
      <c r="C248" s="10" t="s">
        <v>354</v>
      </c>
      <c r="D248" s="10" t="s">
        <v>532</v>
      </c>
      <c r="E248" s="10" t="s">
        <v>615</v>
      </c>
      <c r="F248" s="10" t="s">
        <v>804</v>
      </c>
      <c r="G248" s="30">
        <v>2.6</v>
      </c>
      <c r="H248" s="50"/>
      <c r="I248" s="50"/>
      <c r="J248" s="30">
        <v>0.00052</v>
      </c>
      <c r="K248" s="10" t="s">
        <v>898</v>
      </c>
      <c r="L248" s="59"/>
    </row>
    <row r="249" spans="1:12" ht="12.75">
      <c r="A249" s="10" t="s">
        <v>145</v>
      </c>
      <c r="B249" s="10" t="s">
        <v>261</v>
      </c>
      <c r="C249" s="10" t="s">
        <v>355</v>
      </c>
      <c r="D249" s="10" t="s">
        <v>533</v>
      </c>
      <c r="E249" s="10" t="s">
        <v>616</v>
      </c>
      <c r="F249" s="10" t="s">
        <v>805</v>
      </c>
      <c r="G249" s="30">
        <v>9.5</v>
      </c>
      <c r="H249" s="50"/>
      <c r="I249" s="50"/>
      <c r="J249" s="30">
        <v>0.06897</v>
      </c>
      <c r="K249" s="10" t="s">
        <v>899</v>
      </c>
      <c r="L249" s="59"/>
    </row>
    <row r="250" spans="1:12" ht="12.75">
      <c r="A250" s="20" t="s">
        <v>5</v>
      </c>
      <c r="B250" s="20" t="s">
        <v>5</v>
      </c>
      <c r="C250" s="20" t="s">
        <v>21</v>
      </c>
      <c r="D250" s="20" t="s">
        <v>534</v>
      </c>
      <c r="E250" s="20" t="s">
        <v>5</v>
      </c>
      <c r="F250" s="20" t="s">
        <v>5</v>
      </c>
      <c r="G250" s="44" t="s">
        <v>5</v>
      </c>
      <c r="H250" s="44" t="s">
        <v>5</v>
      </c>
      <c r="I250" s="44"/>
      <c r="J250" s="52">
        <v>0.22829</v>
      </c>
      <c r="K250" s="20" t="s">
        <v>5</v>
      </c>
      <c r="L250" s="20" t="s">
        <v>5</v>
      </c>
    </row>
    <row r="251" spans="1:12" ht="12.75">
      <c r="A251" s="10" t="s">
        <v>146</v>
      </c>
      <c r="B251" s="10" t="s">
        <v>261</v>
      </c>
      <c r="C251" s="10" t="s">
        <v>356</v>
      </c>
      <c r="D251" s="10" t="s">
        <v>535</v>
      </c>
      <c r="E251" s="10" t="s">
        <v>612</v>
      </c>
      <c r="F251" s="10" t="s">
        <v>806</v>
      </c>
      <c r="G251" s="30">
        <v>230.6</v>
      </c>
      <c r="H251" s="50"/>
      <c r="I251" s="50"/>
      <c r="J251" s="30">
        <v>0.22829</v>
      </c>
      <c r="K251" s="10"/>
      <c r="L251" s="59"/>
    </row>
    <row r="252" spans="1:12" ht="12.75">
      <c r="A252" s="10" t="s">
        <v>147</v>
      </c>
      <c r="B252" s="10" t="s">
        <v>261</v>
      </c>
      <c r="C252" s="10" t="s">
        <v>357</v>
      </c>
      <c r="D252" s="10" t="s">
        <v>536</v>
      </c>
      <c r="E252" s="10" t="s">
        <v>612</v>
      </c>
      <c r="F252" s="10"/>
      <c r="G252" s="30">
        <v>230.6</v>
      </c>
      <c r="H252" s="50"/>
      <c r="I252" s="50"/>
      <c r="J252" s="30">
        <v>0</v>
      </c>
      <c r="K252" s="10"/>
      <c r="L252" s="59"/>
    </row>
    <row r="253" spans="1:12" ht="12.75">
      <c r="A253" s="20" t="s">
        <v>5</v>
      </c>
      <c r="B253" s="20" t="s">
        <v>5</v>
      </c>
      <c r="C253" s="20" t="s">
        <v>22</v>
      </c>
      <c r="D253" s="20" t="s">
        <v>537</v>
      </c>
      <c r="E253" s="20" t="s">
        <v>5</v>
      </c>
      <c r="F253" s="20" t="s">
        <v>5</v>
      </c>
      <c r="G253" s="44" t="s">
        <v>5</v>
      </c>
      <c r="H253" s="44" t="s">
        <v>5</v>
      </c>
      <c r="I253" s="44"/>
      <c r="J253" s="52">
        <v>0</v>
      </c>
      <c r="K253" s="20" t="s">
        <v>5</v>
      </c>
      <c r="L253" s="20" t="s">
        <v>5</v>
      </c>
    </row>
    <row r="254" spans="1:12" ht="12.75">
      <c r="A254" s="10" t="s">
        <v>148</v>
      </c>
      <c r="B254" s="10" t="s">
        <v>261</v>
      </c>
      <c r="C254" s="10" t="s">
        <v>358</v>
      </c>
      <c r="D254" s="10" t="s">
        <v>538</v>
      </c>
      <c r="E254" s="10" t="s">
        <v>615</v>
      </c>
      <c r="F254" s="10" t="s">
        <v>807</v>
      </c>
      <c r="G254" s="30">
        <v>130.97</v>
      </c>
      <c r="H254" s="50"/>
      <c r="I254" s="50"/>
      <c r="J254" s="30">
        <v>0</v>
      </c>
      <c r="K254" s="10"/>
      <c r="L254" s="59"/>
    </row>
    <row r="255" ht="12.75">
      <c r="F255" s="10" t="s">
        <v>808</v>
      </c>
    </row>
    <row r="256" ht="12.75">
      <c r="F256" s="10" t="s">
        <v>809</v>
      </c>
    </row>
    <row r="257" spans="1:12" ht="12.75">
      <c r="A257" s="10" t="s">
        <v>149</v>
      </c>
      <c r="B257" s="10" t="s">
        <v>261</v>
      </c>
      <c r="C257" s="10" t="s">
        <v>359</v>
      </c>
      <c r="D257" s="10" t="s">
        <v>539</v>
      </c>
      <c r="E257" s="10" t="s">
        <v>615</v>
      </c>
      <c r="F257" s="10"/>
      <c r="G257" s="30">
        <v>130.97</v>
      </c>
      <c r="H257" s="50"/>
      <c r="I257" s="50"/>
      <c r="J257" s="30">
        <v>0</v>
      </c>
      <c r="K257" s="10"/>
      <c r="L257" s="59"/>
    </row>
    <row r="258" spans="1:12" ht="12.75">
      <c r="A258" s="20" t="s">
        <v>5</v>
      </c>
      <c r="B258" s="20" t="s">
        <v>5</v>
      </c>
      <c r="C258" s="20" t="s">
        <v>23</v>
      </c>
      <c r="D258" s="20" t="s">
        <v>540</v>
      </c>
      <c r="E258" s="20" t="s">
        <v>5</v>
      </c>
      <c r="F258" s="20" t="s">
        <v>5</v>
      </c>
      <c r="G258" s="44" t="s">
        <v>5</v>
      </c>
      <c r="H258" s="44" t="s">
        <v>5</v>
      </c>
      <c r="I258" s="44"/>
      <c r="J258" s="52">
        <v>0</v>
      </c>
      <c r="K258" s="20" t="s">
        <v>5</v>
      </c>
      <c r="L258" s="20" t="s">
        <v>5</v>
      </c>
    </row>
    <row r="259" spans="1:12" ht="12.75">
      <c r="A259" s="10" t="s">
        <v>150</v>
      </c>
      <c r="B259" s="10" t="s">
        <v>261</v>
      </c>
      <c r="C259" s="10" t="s">
        <v>280</v>
      </c>
      <c r="D259" s="10" t="s">
        <v>440</v>
      </c>
      <c r="E259" s="10" t="s">
        <v>615</v>
      </c>
      <c r="F259" s="10"/>
      <c r="G259" s="30">
        <v>128.37</v>
      </c>
      <c r="H259" s="50"/>
      <c r="I259" s="50"/>
      <c r="J259" s="30">
        <v>0</v>
      </c>
      <c r="K259" s="10" t="s">
        <v>872</v>
      </c>
      <c r="L259" s="59"/>
    </row>
    <row r="260" spans="1:12" ht="12.75">
      <c r="A260" s="10" t="s">
        <v>151</v>
      </c>
      <c r="B260" s="10" t="s">
        <v>261</v>
      </c>
      <c r="C260" s="10" t="s">
        <v>360</v>
      </c>
      <c r="D260" s="10" t="s">
        <v>541</v>
      </c>
      <c r="E260" s="10" t="s">
        <v>615</v>
      </c>
      <c r="F260" s="10"/>
      <c r="G260" s="30">
        <v>1</v>
      </c>
      <c r="H260" s="50"/>
      <c r="I260" s="50"/>
      <c r="J260" s="30">
        <v>0</v>
      </c>
      <c r="K260" s="10"/>
      <c r="L260" s="59"/>
    </row>
    <row r="261" spans="1:12" ht="12.75">
      <c r="A261" s="10" t="s">
        <v>152</v>
      </c>
      <c r="B261" s="10" t="s">
        <v>261</v>
      </c>
      <c r="C261" s="10" t="s">
        <v>361</v>
      </c>
      <c r="D261" s="10" t="s">
        <v>542</v>
      </c>
      <c r="E261" s="10" t="s">
        <v>615</v>
      </c>
      <c r="F261" s="10" t="s">
        <v>810</v>
      </c>
      <c r="G261" s="30">
        <v>87.7</v>
      </c>
      <c r="H261" s="50"/>
      <c r="I261" s="50"/>
      <c r="J261" s="30">
        <v>0</v>
      </c>
      <c r="K261" s="10"/>
      <c r="L261" s="59"/>
    </row>
    <row r="262" ht="12.75">
      <c r="F262" s="10" t="s">
        <v>811</v>
      </c>
    </row>
    <row r="263" spans="1:12" ht="12.75">
      <c r="A263" s="20" t="s">
        <v>5</v>
      </c>
      <c r="B263" s="20" t="s">
        <v>5</v>
      </c>
      <c r="C263" s="20" t="s">
        <v>51</v>
      </c>
      <c r="D263" s="20" t="s">
        <v>543</v>
      </c>
      <c r="E263" s="20" t="s">
        <v>5</v>
      </c>
      <c r="F263" s="20" t="s">
        <v>5</v>
      </c>
      <c r="G263" s="44" t="s">
        <v>5</v>
      </c>
      <c r="H263" s="44" t="s">
        <v>5</v>
      </c>
      <c r="I263" s="44"/>
      <c r="J263" s="52">
        <v>17.20601</v>
      </c>
      <c r="K263" s="20" t="s">
        <v>5</v>
      </c>
      <c r="L263" s="20" t="s">
        <v>5</v>
      </c>
    </row>
    <row r="264" spans="1:12" ht="12.75">
      <c r="A264" s="10" t="s">
        <v>153</v>
      </c>
      <c r="B264" s="10" t="s">
        <v>261</v>
      </c>
      <c r="C264" s="10" t="s">
        <v>362</v>
      </c>
      <c r="D264" s="10" t="s">
        <v>544</v>
      </c>
      <c r="E264" s="10" t="s">
        <v>615</v>
      </c>
      <c r="F264" s="10" t="s">
        <v>812</v>
      </c>
      <c r="G264" s="30">
        <v>9.1</v>
      </c>
      <c r="H264" s="50"/>
      <c r="I264" s="50"/>
      <c r="J264" s="30">
        <v>17.20601</v>
      </c>
      <c r="K264" s="10"/>
      <c r="L264" s="59"/>
    </row>
    <row r="265" spans="1:12" ht="12.75">
      <c r="A265" s="10" t="s">
        <v>154</v>
      </c>
      <c r="B265" s="10" t="s">
        <v>261</v>
      </c>
      <c r="C265" s="10" t="s">
        <v>363</v>
      </c>
      <c r="D265" s="10" t="s">
        <v>545</v>
      </c>
      <c r="E265" s="10" t="s">
        <v>615</v>
      </c>
      <c r="F265" s="10" t="s">
        <v>813</v>
      </c>
      <c r="G265" s="30">
        <v>31.8</v>
      </c>
      <c r="H265" s="50"/>
      <c r="I265" s="50"/>
      <c r="J265" s="30">
        <v>0</v>
      </c>
      <c r="K265" s="10" t="s">
        <v>900</v>
      </c>
      <c r="L265" s="59"/>
    </row>
    <row r="266" spans="1:12" ht="12.75">
      <c r="A266" s="20" t="s">
        <v>5</v>
      </c>
      <c r="B266" s="20" t="s">
        <v>5</v>
      </c>
      <c r="C266" s="20" t="s">
        <v>93</v>
      </c>
      <c r="D266" s="20" t="s">
        <v>546</v>
      </c>
      <c r="E266" s="20" t="s">
        <v>5</v>
      </c>
      <c r="F266" s="20" t="s">
        <v>5</v>
      </c>
      <c r="G266" s="44" t="s">
        <v>5</v>
      </c>
      <c r="H266" s="44" t="s">
        <v>5</v>
      </c>
      <c r="I266" s="44"/>
      <c r="J266" s="52">
        <v>0.00151</v>
      </c>
      <c r="K266" s="20" t="s">
        <v>5</v>
      </c>
      <c r="L266" s="20" t="s">
        <v>5</v>
      </c>
    </row>
    <row r="267" spans="1:12" ht="12.75">
      <c r="A267" s="10" t="s">
        <v>155</v>
      </c>
      <c r="B267" s="10" t="s">
        <v>261</v>
      </c>
      <c r="C267" s="10" t="s">
        <v>364</v>
      </c>
      <c r="D267" s="10" t="s">
        <v>547</v>
      </c>
      <c r="E267" s="10" t="s">
        <v>614</v>
      </c>
      <c r="F267" s="10"/>
      <c r="G267" s="30">
        <v>1</v>
      </c>
      <c r="H267" s="50"/>
      <c r="I267" s="50"/>
      <c r="J267" s="30">
        <v>0</v>
      </c>
      <c r="K267" s="10"/>
      <c r="L267" s="59"/>
    </row>
    <row r="268" spans="1:12" ht="12.75">
      <c r="A268" s="10" t="s">
        <v>156</v>
      </c>
      <c r="B268" s="10" t="s">
        <v>261</v>
      </c>
      <c r="C268" s="10" t="s">
        <v>365</v>
      </c>
      <c r="D268" s="10" t="s">
        <v>548</v>
      </c>
      <c r="E268" s="10" t="s">
        <v>616</v>
      </c>
      <c r="F268" s="10" t="s">
        <v>814</v>
      </c>
      <c r="G268" s="30">
        <v>17.9</v>
      </c>
      <c r="H268" s="50"/>
      <c r="I268" s="50"/>
      <c r="J268" s="30">
        <v>0.00018</v>
      </c>
      <c r="K268" s="10"/>
      <c r="L268" s="59"/>
    </row>
    <row r="269" spans="1:12" ht="12.75">
      <c r="A269" s="10" t="s">
        <v>157</v>
      </c>
      <c r="B269" s="10" t="s">
        <v>261</v>
      </c>
      <c r="C269" s="10" t="s">
        <v>366</v>
      </c>
      <c r="D269" s="10" t="s">
        <v>549</v>
      </c>
      <c r="E269" s="10" t="s">
        <v>616</v>
      </c>
      <c r="F269" s="10" t="s">
        <v>815</v>
      </c>
      <c r="G269" s="30">
        <v>33.26</v>
      </c>
      <c r="H269" s="50"/>
      <c r="I269" s="50"/>
      <c r="J269" s="30">
        <v>0.00033</v>
      </c>
      <c r="K269" s="10"/>
      <c r="L269" s="59"/>
    </row>
    <row r="270" spans="1:12" ht="12.75">
      <c r="A270" s="10" t="s">
        <v>158</v>
      </c>
      <c r="B270" s="10" t="s">
        <v>261</v>
      </c>
      <c r="C270" s="10" t="s">
        <v>367</v>
      </c>
      <c r="D270" s="10" t="s">
        <v>550</v>
      </c>
      <c r="E270" s="10" t="s">
        <v>616</v>
      </c>
      <c r="F270" s="10" t="s">
        <v>816</v>
      </c>
      <c r="G270" s="30">
        <v>50</v>
      </c>
      <c r="H270" s="50"/>
      <c r="I270" s="50"/>
      <c r="J270" s="30">
        <v>0.001</v>
      </c>
      <c r="K270" s="10"/>
      <c r="L270" s="59"/>
    </row>
    <row r="271" spans="1:12" ht="12.75">
      <c r="A271" s="20" t="s">
        <v>5</v>
      </c>
      <c r="B271" s="20" t="s">
        <v>5</v>
      </c>
      <c r="C271" s="20" t="s">
        <v>95</v>
      </c>
      <c r="D271" s="20" t="s">
        <v>473</v>
      </c>
      <c r="E271" s="20" t="s">
        <v>5</v>
      </c>
      <c r="F271" s="20" t="s">
        <v>5</v>
      </c>
      <c r="G271" s="44" t="s">
        <v>5</v>
      </c>
      <c r="H271" s="44" t="s">
        <v>5</v>
      </c>
      <c r="I271" s="44"/>
      <c r="J271" s="52">
        <v>1.50662</v>
      </c>
      <c r="K271" s="20" t="s">
        <v>5</v>
      </c>
      <c r="L271" s="20" t="s">
        <v>5</v>
      </c>
    </row>
    <row r="272" spans="1:12" ht="12.75">
      <c r="A272" s="10" t="s">
        <v>159</v>
      </c>
      <c r="B272" s="10" t="s">
        <v>261</v>
      </c>
      <c r="C272" s="10" t="s">
        <v>368</v>
      </c>
      <c r="D272" s="10" t="s">
        <v>551</v>
      </c>
      <c r="E272" s="10" t="s">
        <v>613</v>
      </c>
      <c r="F272" s="10"/>
      <c r="G272" s="30">
        <v>3</v>
      </c>
      <c r="H272" s="50"/>
      <c r="I272" s="50"/>
      <c r="J272" s="30">
        <v>1.50645</v>
      </c>
      <c r="K272" s="10"/>
      <c r="L272" s="59"/>
    </row>
    <row r="273" spans="1:12" ht="12.75">
      <c r="A273" s="10" t="s">
        <v>160</v>
      </c>
      <c r="B273" s="10" t="s">
        <v>261</v>
      </c>
      <c r="C273" s="10" t="s">
        <v>369</v>
      </c>
      <c r="D273" s="10" t="s">
        <v>552</v>
      </c>
      <c r="E273" s="10" t="s">
        <v>616</v>
      </c>
      <c r="F273" s="10" t="s">
        <v>817</v>
      </c>
      <c r="G273" s="30">
        <v>100.85</v>
      </c>
      <c r="H273" s="50"/>
      <c r="I273" s="50"/>
      <c r="J273" s="30">
        <v>0</v>
      </c>
      <c r="K273" s="10"/>
      <c r="L273" s="59"/>
    </row>
    <row r="274" spans="1:12" ht="12.75">
      <c r="A274" s="10" t="s">
        <v>161</v>
      </c>
      <c r="B274" s="10" t="s">
        <v>261</v>
      </c>
      <c r="C274" s="10" t="s">
        <v>370</v>
      </c>
      <c r="D274" s="10" t="s">
        <v>553</v>
      </c>
      <c r="E274" s="10" t="s">
        <v>622</v>
      </c>
      <c r="F274" s="10"/>
      <c r="G274" s="30">
        <v>1</v>
      </c>
      <c r="H274" s="50"/>
      <c r="I274" s="50"/>
      <c r="J274" s="30">
        <v>0.00017</v>
      </c>
      <c r="K274" s="10"/>
      <c r="L274" s="59"/>
    </row>
    <row r="275" spans="1:12" ht="12.75">
      <c r="A275" s="20" t="s">
        <v>5</v>
      </c>
      <c r="B275" s="20" t="s">
        <v>5</v>
      </c>
      <c r="C275" s="20" t="s">
        <v>97</v>
      </c>
      <c r="D275" s="20" t="s">
        <v>476</v>
      </c>
      <c r="E275" s="20" t="s">
        <v>5</v>
      </c>
      <c r="F275" s="20" t="s">
        <v>5</v>
      </c>
      <c r="G275" s="44" t="s">
        <v>5</v>
      </c>
      <c r="H275" s="44" t="s">
        <v>5</v>
      </c>
      <c r="I275" s="44"/>
      <c r="J275" s="52">
        <v>9.44503</v>
      </c>
      <c r="K275" s="20" t="s">
        <v>5</v>
      </c>
      <c r="L275" s="20" t="s">
        <v>5</v>
      </c>
    </row>
    <row r="276" spans="1:12" ht="12.75">
      <c r="A276" s="10" t="s">
        <v>162</v>
      </c>
      <c r="B276" s="10" t="s">
        <v>261</v>
      </c>
      <c r="C276" s="10" t="s">
        <v>371</v>
      </c>
      <c r="D276" s="10" t="s">
        <v>554</v>
      </c>
      <c r="E276" s="10" t="s">
        <v>615</v>
      </c>
      <c r="F276" s="10"/>
      <c r="G276" s="30">
        <v>0.79</v>
      </c>
      <c r="H276" s="50"/>
      <c r="I276" s="50"/>
      <c r="J276" s="30">
        <v>2.42829</v>
      </c>
      <c r="K276" s="10"/>
      <c r="L276" s="59"/>
    </row>
    <row r="277" spans="1:12" ht="12.75">
      <c r="A277" s="10" t="s">
        <v>163</v>
      </c>
      <c r="B277" s="10" t="s">
        <v>261</v>
      </c>
      <c r="C277" s="10" t="s">
        <v>372</v>
      </c>
      <c r="D277" s="10" t="s">
        <v>555</v>
      </c>
      <c r="E277" s="10" t="s">
        <v>615</v>
      </c>
      <c r="F277" s="10"/>
      <c r="G277" s="30">
        <v>0.79</v>
      </c>
      <c r="H277" s="50"/>
      <c r="I277" s="50"/>
      <c r="J277" s="30">
        <v>0</v>
      </c>
      <c r="K277" s="10" t="s">
        <v>901</v>
      </c>
      <c r="L277" s="59"/>
    </row>
    <row r="278" spans="1:12" ht="12.75">
      <c r="A278" s="10" t="s">
        <v>164</v>
      </c>
      <c r="B278" s="10" t="s">
        <v>261</v>
      </c>
      <c r="C278" s="10" t="s">
        <v>358</v>
      </c>
      <c r="D278" s="10" t="s">
        <v>538</v>
      </c>
      <c r="E278" s="10" t="s">
        <v>615</v>
      </c>
      <c r="F278" s="10"/>
      <c r="G278" s="30">
        <v>0.79</v>
      </c>
      <c r="H278" s="50"/>
      <c r="I278" s="50"/>
      <c r="J278" s="30">
        <v>0</v>
      </c>
      <c r="K278" s="10"/>
      <c r="L278" s="59"/>
    </row>
    <row r="279" spans="1:12" ht="12.75">
      <c r="A279" s="10" t="s">
        <v>165</v>
      </c>
      <c r="B279" s="10" t="s">
        <v>261</v>
      </c>
      <c r="C279" s="10" t="s">
        <v>373</v>
      </c>
      <c r="D279" s="10" t="s">
        <v>556</v>
      </c>
      <c r="E279" s="10" t="s">
        <v>615</v>
      </c>
      <c r="F279" s="10"/>
      <c r="G279" s="30">
        <v>0.79</v>
      </c>
      <c r="H279" s="50"/>
      <c r="I279" s="50"/>
      <c r="J279" s="30">
        <v>0</v>
      </c>
      <c r="K279" s="10"/>
      <c r="L279" s="59"/>
    </row>
    <row r="280" spans="1:12" ht="12.75">
      <c r="A280" s="10" t="s">
        <v>166</v>
      </c>
      <c r="B280" s="10" t="s">
        <v>261</v>
      </c>
      <c r="C280" s="10" t="s">
        <v>374</v>
      </c>
      <c r="D280" s="10" t="s">
        <v>557</v>
      </c>
      <c r="E280" s="10" t="s">
        <v>613</v>
      </c>
      <c r="F280" s="10"/>
      <c r="G280" s="30">
        <v>1</v>
      </c>
      <c r="H280" s="50"/>
      <c r="I280" s="50"/>
      <c r="J280" s="30">
        <v>7.01674</v>
      </c>
      <c r="K280" s="10"/>
      <c r="L280" s="59"/>
    </row>
    <row r="281" spans="1:12" ht="12.75">
      <c r="A281" s="20" t="s">
        <v>5</v>
      </c>
      <c r="B281" s="20" t="s">
        <v>5</v>
      </c>
      <c r="C281" s="20"/>
      <c r="D281" s="20" t="s">
        <v>487</v>
      </c>
      <c r="E281" s="20" t="s">
        <v>5</v>
      </c>
      <c r="F281" s="20" t="s">
        <v>5</v>
      </c>
      <c r="G281" s="44" t="s">
        <v>5</v>
      </c>
      <c r="H281" s="44" t="s">
        <v>5</v>
      </c>
      <c r="I281" s="44"/>
      <c r="J281" s="52">
        <v>83.32494</v>
      </c>
      <c r="K281" s="20" t="s">
        <v>5</v>
      </c>
      <c r="L281" s="20" t="s">
        <v>5</v>
      </c>
    </row>
    <row r="282" spans="1:12" ht="12.75">
      <c r="A282" s="10" t="s">
        <v>167</v>
      </c>
      <c r="B282" s="10" t="s">
        <v>261</v>
      </c>
      <c r="C282" s="10" t="s">
        <v>375</v>
      </c>
      <c r="D282" s="10" t="s">
        <v>558</v>
      </c>
      <c r="E282" s="10" t="s">
        <v>616</v>
      </c>
      <c r="F282" s="10" t="s">
        <v>818</v>
      </c>
      <c r="G282" s="30">
        <v>17.59</v>
      </c>
      <c r="H282" s="50"/>
      <c r="I282" s="50"/>
      <c r="J282" s="30">
        <v>0</v>
      </c>
      <c r="K282" s="10"/>
      <c r="L282" s="59"/>
    </row>
    <row r="283" spans="1:12" ht="12.75">
      <c r="A283" s="10" t="s">
        <v>168</v>
      </c>
      <c r="B283" s="10" t="s">
        <v>261</v>
      </c>
      <c r="C283" s="10" t="s">
        <v>376</v>
      </c>
      <c r="D283" s="10" t="s">
        <v>559</v>
      </c>
      <c r="E283" s="10" t="s">
        <v>618</v>
      </c>
      <c r="F283" s="10"/>
      <c r="G283" s="30">
        <v>2</v>
      </c>
      <c r="H283" s="50"/>
      <c r="I283" s="50"/>
      <c r="J283" s="30">
        <v>0</v>
      </c>
      <c r="K283" s="10"/>
      <c r="L283" s="59"/>
    </row>
    <row r="284" spans="1:12" ht="12.75">
      <c r="A284" s="10" t="s">
        <v>169</v>
      </c>
      <c r="B284" s="10" t="s">
        <v>261</v>
      </c>
      <c r="C284" s="10" t="s">
        <v>377</v>
      </c>
      <c r="D284" s="10" t="s">
        <v>560</v>
      </c>
      <c r="E284" s="10" t="s">
        <v>620</v>
      </c>
      <c r="F284" s="10" t="s">
        <v>819</v>
      </c>
      <c r="G284" s="30">
        <v>82.68</v>
      </c>
      <c r="H284" s="50"/>
      <c r="I284" s="50"/>
      <c r="J284" s="30">
        <v>82.68</v>
      </c>
      <c r="K284" s="10"/>
      <c r="L284" s="59"/>
    </row>
    <row r="285" spans="1:12" ht="12.75">
      <c r="A285" s="10" t="s">
        <v>170</v>
      </c>
      <c r="B285" s="10" t="s">
        <v>261</v>
      </c>
      <c r="C285" s="10" t="s">
        <v>378</v>
      </c>
      <c r="D285" s="10" t="s">
        <v>561</v>
      </c>
      <c r="E285" s="10" t="s">
        <v>613</v>
      </c>
      <c r="F285" s="10"/>
      <c r="G285" s="30">
        <v>1</v>
      </c>
      <c r="H285" s="50"/>
      <c r="I285" s="50"/>
      <c r="J285" s="30">
        <v>0.022</v>
      </c>
      <c r="K285" s="10"/>
      <c r="L285" s="59"/>
    </row>
    <row r="286" spans="1:12" ht="12.75">
      <c r="A286" s="10" t="s">
        <v>171</v>
      </c>
      <c r="B286" s="10" t="s">
        <v>261</v>
      </c>
      <c r="C286" s="10" t="s">
        <v>379</v>
      </c>
      <c r="D286" s="10" t="s">
        <v>562</v>
      </c>
      <c r="E286" s="10" t="s">
        <v>613</v>
      </c>
      <c r="F286" s="10"/>
      <c r="G286" s="30">
        <v>1</v>
      </c>
      <c r="H286" s="50"/>
      <c r="I286" s="50"/>
      <c r="J286" s="30">
        <v>0.1523</v>
      </c>
      <c r="K286" s="10"/>
      <c r="L286" s="59"/>
    </row>
    <row r="287" spans="1:12" ht="12.75">
      <c r="A287" s="10" t="s">
        <v>172</v>
      </c>
      <c r="B287" s="10" t="s">
        <v>261</v>
      </c>
      <c r="C287" s="10" t="s">
        <v>380</v>
      </c>
      <c r="D287" s="10" t="s">
        <v>563</v>
      </c>
      <c r="E287" s="10" t="s">
        <v>613</v>
      </c>
      <c r="F287" s="10"/>
      <c r="G287" s="30">
        <v>2</v>
      </c>
      <c r="H287" s="50"/>
      <c r="I287" s="50"/>
      <c r="J287" s="30">
        <v>0.338</v>
      </c>
      <c r="K287" s="10"/>
      <c r="L287" s="59"/>
    </row>
    <row r="288" spans="1:12" ht="12.75">
      <c r="A288" s="10" t="s">
        <v>173</v>
      </c>
      <c r="B288" s="10" t="s">
        <v>261</v>
      </c>
      <c r="C288" s="10" t="s">
        <v>381</v>
      </c>
      <c r="D288" s="10" t="s">
        <v>564</v>
      </c>
      <c r="E288" s="10" t="s">
        <v>613</v>
      </c>
      <c r="F288" s="10"/>
      <c r="G288" s="30">
        <v>1</v>
      </c>
      <c r="H288" s="50"/>
      <c r="I288" s="50"/>
      <c r="J288" s="30">
        <v>0.021</v>
      </c>
      <c r="K288" s="10"/>
      <c r="L288" s="59"/>
    </row>
    <row r="289" spans="1:12" ht="12.75">
      <c r="A289" s="10" t="s">
        <v>174</v>
      </c>
      <c r="B289" s="10" t="s">
        <v>261</v>
      </c>
      <c r="C289" s="10" t="s">
        <v>382</v>
      </c>
      <c r="D289" s="10" t="s">
        <v>565</v>
      </c>
      <c r="E289" s="10" t="s">
        <v>613</v>
      </c>
      <c r="F289" s="10"/>
      <c r="G289" s="30">
        <v>1</v>
      </c>
      <c r="H289" s="50"/>
      <c r="I289" s="50"/>
      <c r="J289" s="30">
        <v>0.0275</v>
      </c>
      <c r="K289" s="10"/>
      <c r="L289" s="59"/>
    </row>
    <row r="290" spans="1:12" ht="12.75">
      <c r="A290" s="10" t="s">
        <v>175</v>
      </c>
      <c r="B290" s="10" t="s">
        <v>261</v>
      </c>
      <c r="C290" s="10" t="s">
        <v>383</v>
      </c>
      <c r="D290" s="10" t="s">
        <v>566</v>
      </c>
      <c r="E290" s="10" t="s">
        <v>613</v>
      </c>
      <c r="F290" s="10"/>
      <c r="G290" s="30">
        <v>3</v>
      </c>
      <c r="H290" s="50"/>
      <c r="I290" s="50"/>
      <c r="J290" s="30">
        <v>0.0786</v>
      </c>
      <c r="K290" s="10"/>
      <c r="L290" s="59"/>
    </row>
    <row r="291" spans="1:12" ht="12.75">
      <c r="A291" s="10" t="s">
        <v>176</v>
      </c>
      <c r="B291" s="10" t="s">
        <v>261</v>
      </c>
      <c r="C291" s="10" t="s">
        <v>384</v>
      </c>
      <c r="D291" s="10" t="s">
        <v>567</v>
      </c>
      <c r="E291" s="10" t="s">
        <v>613</v>
      </c>
      <c r="F291" s="10" t="s">
        <v>7</v>
      </c>
      <c r="G291" s="30">
        <v>1</v>
      </c>
      <c r="H291" s="50"/>
      <c r="I291" s="50"/>
      <c r="J291" s="30">
        <v>0.0031</v>
      </c>
      <c r="K291" s="10"/>
      <c r="L291" s="59"/>
    </row>
    <row r="292" spans="1:12" ht="12.75">
      <c r="A292" s="10" t="s">
        <v>177</v>
      </c>
      <c r="B292" s="10" t="s">
        <v>261</v>
      </c>
      <c r="C292" s="10" t="s">
        <v>385</v>
      </c>
      <c r="D292" s="10" t="s">
        <v>568</v>
      </c>
      <c r="E292" s="10" t="s">
        <v>616</v>
      </c>
      <c r="F292" s="10" t="s">
        <v>815</v>
      </c>
      <c r="G292" s="30">
        <v>33.26</v>
      </c>
      <c r="H292" s="50"/>
      <c r="I292" s="50"/>
      <c r="J292" s="30">
        <v>0</v>
      </c>
      <c r="K292" s="10"/>
      <c r="L292" s="59"/>
    </row>
    <row r="293" spans="1:12" ht="12.75">
      <c r="A293" s="10" t="s">
        <v>178</v>
      </c>
      <c r="B293" s="10" t="s">
        <v>261</v>
      </c>
      <c r="C293" s="10" t="s">
        <v>386</v>
      </c>
      <c r="D293" s="10" t="s">
        <v>569</v>
      </c>
      <c r="E293" s="10" t="s">
        <v>616</v>
      </c>
      <c r="F293" s="10" t="s">
        <v>820</v>
      </c>
      <c r="G293" s="30">
        <v>50</v>
      </c>
      <c r="H293" s="50"/>
      <c r="I293" s="50"/>
      <c r="J293" s="30">
        <v>0</v>
      </c>
      <c r="K293" s="10"/>
      <c r="L293" s="59"/>
    </row>
    <row r="294" spans="1:12" ht="12.75">
      <c r="A294" s="10" t="s">
        <v>179</v>
      </c>
      <c r="B294" s="10" t="s">
        <v>261</v>
      </c>
      <c r="C294" s="10" t="s">
        <v>387</v>
      </c>
      <c r="D294" s="10" t="s">
        <v>570</v>
      </c>
      <c r="E294" s="10" t="s">
        <v>618</v>
      </c>
      <c r="F294" s="10"/>
      <c r="G294" s="30">
        <v>1</v>
      </c>
      <c r="H294" s="50"/>
      <c r="I294" s="50"/>
      <c r="J294" s="30">
        <v>0</v>
      </c>
      <c r="K294" s="10"/>
      <c r="L294" s="59"/>
    </row>
    <row r="295" spans="1:12" ht="12.75">
      <c r="A295" s="10" t="s">
        <v>180</v>
      </c>
      <c r="B295" s="10" t="s">
        <v>261</v>
      </c>
      <c r="C295" s="10" t="s">
        <v>388</v>
      </c>
      <c r="D295" s="10" t="s">
        <v>571</v>
      </c>
      <c r="E295" s="10" t="s">
        <v>618</v>
      </c>
      <c r="F295" s="10"/>
      <c r="G295" s="30">
        <v>3</v>
      </c>
      <c r="H295" s="50"/>
      <c r="I295" s="50"/>
      <c r="J295" s="30">
        <v>0</v>
      </c>
      <c r="K295" s="10"/>
      <c r="L295" s="59"/>
    </row>
    <row r="296" spans="1:12" ht="12.75">
      <c r="A296" s="10" t="s">
        <v>181</v>
      </c>
      <c r="B296" s="10" t="s">
        <v>261</v>
      </c>
      <c r="C296" s="10" t="s">
        <v>389</v>
      </c>
      <c r="D296" s="10" t="s">
        <v>572</v>
      </c>
      <c r="E296" s="10" t="s">
        <v>613</v>
      </c>
      <c r="F296" s="10"/>
      <c r="G296" s="30">
        <v>1</v>
      </c>
      <c r="H296" s="50"/>
      <c r="I296" s="50"/>
      <c r="J296" s="30">
        <v>0.00079</v>
      </c>
      <c r="K296" s="10"/>
      <c r="L296" s="59"/>
    </row>
    <row r="297" spans="1:12" ht="12.75">
      <c r="A297" s="10" t="s">
        <v>182</v>
      </c>
      <c r="B297" s="10" t="s">
        <v>261</v>
      </c>
      <c r="C297" s="10" t="s">
        <v>390</v>
      </c>
      <c r="D297" s="10" t="s">
        <v>573</v>
      </c>
      <c r="E297" s="10" t="s">
        <v>613</v>
      </c>
      <c r="F297" s="10"/>
      <c r="G297" s="30">
        <v>1</v>
      </c>
      <c r="H297" s="50"/>
      <c r="I297" s="50"/>
      <c r="J297" s="30">
        <v>0.00165</v>
      </c>
      <c r="K297" s="10"/>
      <c r="L297" s="59"/>
    </row>
    <row r="298" spans="1:12" ht="12.75">
      <c r="A298" s="20" t="s">
        <v>5</v>
      </c>
      <c r="B298" s="20" t="s">
        <v>5</v>
      </c>
      <c r="C298" s="20"/>
      <c r="D298" s="20" t="s">
        <v>574</v>
      </c>
      <c r="E298" s="20" t="s">
        <v>5</v>
      </c>
      <c r="F298" s="20" t="s">
        <v>5</v>
      </c>
      <c r="G298" s="44" t="s">
        <v>5</v>
      </c>
      <c r="H298" s="44" t="s">
        <v>5</v>
      </c>
      <c r="I298" s="44"/>
      <c r="J298" s="52">
        <v>125.80484</v>
      </c>
      <c r="K298" s="20" t="s">
        <v>5</v>
      </c>
      <c r="L298" s="20" t="s">
        <v>5</v>
      </c>
    </row>
    <row r="299" spans="1:12" ht="12.75">
      <c r="A299" s="20" t="s">
        <v>5</v>
      </c>
      <c r="B299" s="20" t="s">
        <v>5</v>
      </c>
      <c r="C299" s="20" t="s">
        <v>266</v>
      </c>
      <c r="D299" s="20" t="s">
        <v>424</v>
      </c>
      <c r="E299" s="20" t="s">
        <v>5</v>
      </c>
      <c r="F299" s="20" t="s">
        <v>5</v>
      </c>
      <c r="G299" s="44" t="s">
        <v>5</v>
      </c>
      <c r="H299" s="44" t="s">
        <v>5</v>
      </c>
      <c r="I299" s="44"/>
      <c r="J299" s="52">
        <v>0</v>
      </c>
      <c r="K299" s="20" t="s">
        <v>5</v>
      </c>
      <c r="L299" s="20" t="s">
        <v>5</v>
      </c>
    </row>
    <row r="300" spans="1:12" ht="12.75">
      <c r="A300" s="10" t="s">
        <v>183</v>
      </c>
      <c r="B300" s="10" t="s">
        <v>262</v>
      </c>
      <c r="C300" s="10" t="s">
        <v>267</v>
      </c>
      <c r="D300" s="10" t="s">
        <v>425</v>
      </c>
      <c r="E300" s="10" t="s">
        <v>611</v>
      </c>
      <c r="F300" s="10"/>
      <c r="G300" s="30">
        <v>1</v>
      </c>
      <c r="H300" s="50"/>
      <c r="I300" s="50"/>
      <c r="J300" s="30">
        <v>0</v>
      </c>
      <c r="K300" s="10"/>
      <c r="L300" s="59"/>
    </row>
    <row r="301" spans="1:12" ht="12.75">
      <c r="A301" s="20" t="s">
        <v>5</v>
      </c>
      <c r="B301" s="20" t="s">
        <v>5</v>
      </c>
      <c r="C301" s="20" t="s">
        <v>17</v>
      </c>
      <c r="D301" s="20" t="s">
        <v>426</v>
      </c>
      <c r="E301" s="20" t="s">
        <v>5</v>
      </c>
      <c r="F301" s="20" t="s">
        <v>5</v>
      </c>
      <c r="G301" s="44" t="s">
        <v>5</v>
      </c>
      <c r="H301" s="44" t="s">
        <v>5</v>
      </c>
      <c r="I301" s="44"/>
      <c r="J301" s="52">
        <v>9.54</v>
      </c>
      <c r="K301" s="20" t="s">
        <v>5</v>
      </c>
      <c r="L301" s="20" t="s">
        <v>5</v>
      </c>
    </row>
    <row r="302" spans="1:12" ht="12.75">
      <c r="A302" s="10" t="s">
        <v>184</v>
      </c>
      <c r="B302" s="10" t="s">
        <v>262</v>
      </c>
      <c r="C302" s="10" t="s">
        <v>273</v>
      </c>
      <c r="D302" s="10" t="s">
        <v>432</v>
      </c>
      <c r="E302" s="10" t="s">
        <v>612</v>
      </c>
      <c r="F302" s="10" t="s">
        <v>821</v>
      </c>
      <c r="G302" s="30">
        <v>12</v>
      </c>
      <c r="H302" s="50"/>
      <c r="I302" s="50"/>
      <c r="J302" s="30">
        <v>2.82</v>
      </c>
      <c r="K302" s="10"/>
      <c r="L302" s="59"/>
    </row>
    <row r="303" spans="1:12" ht="12.75">
      <c r="A303" s="10" t="s">
        <v>185</v>
      </c>
      <c r="B303" s="10" t="s">
        <v>262</v>
      </c>
      <c r="C303" s="10" t="s">
        <v>274</v>
      </c>
      <c r="D303" s="10" t="s">
        <v>433</v>
      </c>
      <c r="E303" s="10" t="s">
        <v>612</v>
      </c>
      <c r="F303" s="10" t="s">
        <v>821</v>
      </c>
      <c r="G303" s="30">
        <v>12</v>
      </c>
      <c r="H303" s="50"/>
      <c r="I303" s="50"/>
      <c r="J303" s="30">
        <v>6.72</v>
      </c>
      <c r="K303" s="10"/>
      <c r="L303" s="59"/>
    </row>
    <row r="304" spans="1:12" ht="12.75">
      <c r="A304" s="10" t="s">
        <v>186</v>
      </c>
      <c r="B304" s="10" t="s">
        <v>262</v>
      </c>
      <c r="C304" s="10" t="s">
        <v>275</v>
      </c>
      <c r="D304" s="10" t="s">
        <v>434</v>
      </c>
      <c r="E304" s="10" t="s">
        <v>614</v>
      </c>
      <c r="F304" s="10"/>
      <c r="G304" s="30">
        <v>9.54</v>
      </c>
      <c r="H304" s="50"/>
      <c r="I304" s="50"/>
      <c r="J304" s="30">
        <v>0</v>
      </c>
      <c r="K304" s="10"/>
      <c r="L304" s="59"/>
    </row>
    <row r="305" spans="1:12" ht="12.75">
      <c r="A305" s="10" t="s">
        <v>187</v>
      </c>
      <c r="B305" s="10" t="s">
        <v>262</v>
      </c>
      <c r="C305" s="10" t="s">
        <v>276</v>
      </c>
      <c r="D305" s="10" t="s">
        <v>435</v>
      </c>
      <c r="E305" s="10" t="s">
        <v>614</v>
      </c>
      <c r="F305" s="10" t="s">
        <v>822</v>
      </c>
      <c r="G305" s="30">
        <v>76.32</v>
      </c>
      <c r="H305" s="50"/>
      <c r="I305" s="50"/>
      <c r="J305" s="30">
        <v>0</v>
      </c>
      <c r="K305" s="10"/>
      <c r="L305" s="59"/>
    </row>
    <row r="306" spans="1:12" ht="12.75">
      <c r="A306" s="20" t="s">
        <v>5</v>
      </c>
      <c r="B306" s="20" t="s">
        <v>5</v>
      </c>
      <c r="C306" s="20" t="s">
        <v>19</v>
      </c>
      <c r="D306" s="20" t="s">
        <v>529</v>
      </c>
      <c r="E306" s="20" t="s">
        <v>5</v>
      </c>
      <c r="F306" s="20" t="s">
        <v>5</v>
      </c>
      <c r="G306" s="44" t="s">
        <v>5</v>
      </c>
      <c r="H306" s="44" t="s">
        <v>5</v>
      </c>
      <c r="I306" s="44"/>
      <c r="J306" s="52">
        <v>81.40786</v>
      </c>
      <c r="K306" s="20" t="s">
        <v>5</v>
      </c>
      <c r="L306" s="20" t="s">
        <v>5</v>
      </c>
    </row>
    <row r="307" spans="1:12" ht="12.75">
      <c r="A307" s="10" t="s">
        <v>188</v>
      </c>
      <c r="B307" s="10" t="s">
        <v>262</v>
      </c>
      <c r="C307" s="10" t="s">
        <v>353</v>
      </c>
      <c r="D307" s="10" t="s">
        <v>530</v>
      </c>
      <c r="E307" s="10" t="s">
        <v>615</v>
      </c>
      <c r="F307" s="10" t="s">
        <v>823</v>
      </c>
      <c r="G307" s="30">
        <v>10.655</v>
      </c>
      <c r="H307" s="50"/>
      <c r="I307" s="50"/>
      <c r="J307" s="30">
        <v>0</v>
      </c>
      <c r="K307" s="10"/>
      <c r="L307" s="59"/>
    </row>
    <row r="308" ht="12.75">
      <c r="F308" s="10" t="s">
        <v>824</v>
      </c>
    </row>
    <row r="309" spans="1:12" ht="12.75">
      <c r="A309" s="10" t="s">
        <v>189</v>
      </c>
      <c r="B309" s="10" t="s">
        <v>262</v>
      </c>
      <c r="C309" s="10" t="s">
        <v>391</v>
      </c>
      <c r="D309" s="10" t="s">
        <v>575</v>
      </c>
      <c r="E309" s="10" t="s">
        <v>615</v>
      </c>
      <c r="F309" s="10" t="s">
        <v>825</v>
      </c>
      <c r="G309" s="30">
        <v>43.75</v>
      </c>
      <c r="H309" s="50"/>
      <c r="I309" s="50"/>
      <c r="J309" s="30">
        <v>81.375</v>
      </c>
      <c r="K309" s="10" t="s">
        <v>902</v>
      </c>
      <c r="L309" s="59"/>
    </row>
    <row r="310" ht="12.75">
      <c r="F310" s="10" t="s">
        <v>826</v>
      </c>
    </row>
    <row r="311" ht="12.75">
      <c r="F311" s="10" t="s">
        <v>827</v>
      </c>
    </row>
    <row r="312" spans="1:12" ht="12.75">
      <c r="A312" s="10" t="s">
        <v>190</v>
      </c>
      <c r="B312" s="10" t="s">
        <v>262</v>
      </c>
      <c r="C312" s="10" t="s">
        <v>392</v>
      </c>
      <c r="D312" s="10" t="s">
        <v>576</v>
      </c>
      <c r="E312" s="10" t="s">
        <v>615</v>
      </c>
      <c r="F312" s="10" t="s">
        <v>828</v>
      </c>
      <c r="G312" s="30">
        <v>44.4</v>
      </c>
      <c r="H312" s="50"/>
      <c r="I312" s="50"/>
      <c r="J312" s="30">
        <v>0.03286</v>
      </c>
      <c r="K312" s="10" t="s">
        <v>903</v>
      </c>
      <c r="L312" s="59"/>
    </row>
    <row r="313" spans="1:12" ht="12.75">
      <c r="A313" s="20" t="s">
        <v>5</v>
      </c>
      <c r="B313" s="20" t="s">
        <v>5</v>
      </c>
      <c r="C313" s="20" t="s">
        <v>22</v>
      </c>
      <c r="D313" s="20" t="s">
        <v>537</v>
      </c>
      <c r="E313" s="20" t="s">
        <v>5</v>
      </c>
      <c r="F313" s="20" t="s">
        <v>5</v>
      </c>
      <c r="G313" s="44" t="s">
        <v>5</v>
      </c>
      <c r="H313" s="44" t="s">
        <v>5</v>
      </c>
      <c r="I313" s="44"/>
      <c r="J313" s="52">
        <v>0</v>
      </c>
      <c r="K313" s="20" t="s">
        <v>5</v>
      </c>
      <c r="L313" s="20" t="s">
        <v>5</v>
      </c>
    </row>
    <row r="314" spans="1:12" ht="12.75">
      <c r="A314" s="10" t="s">
        <v>191</v>
      </c>
      <c r="B314" s="10" t="s">
        <v>262</v>
      </c>
      <c r="C314" s="10" t="s">
        <v>358</v>
      </c>
      <c r="D314" s="10" t="s">
        <v>538</v>
      </c>
      <c r="E314" s="10" t="s">
        <v>615</v>
      </c>
      <c r="F314" s="10" t="s">
        <v>214</v>
      </c>
      <c r="G314" s="30">
        <v>88.15</v>
      </c>
      <c r="H314" s="50"/>
      <c r="I314" s="50"/>
      <c r="J314" s="30">
        <v>0</v>
      </c>
      <c r="K314" s="10"/>
      <c r="L314" s="59"/>
    </row>
    <row r="315" ht="12.75">
      <c r="F315" s="10" t="s">
        <v>829</v>
      </c>
    </row>
    <row r="316" ht="12.75">
      <c r="F316" s="10" t="s">
        <v>827</v>
      </c>
    </row>
    <row r="317" spans="1:12" ht="12.75">
      <c r="A317" s="10" t="s">
        <v>192</v>
      </c>
      <c r="B317" s="10" t="s">
        <v>262</v>
      </c>
      <c r="C317" s="10" t="s">
        <v>373</v>
      </c>
      <c r="D317" s="10" t="s">
        <v>556</v>
      </c>
      <c r="E317" s="10" t="s">
        <v>615</v>
      </c>
      <c r="F317" s="10" t="s">
        <v>830</v>
      </c>
      <c r="G317" s="30">
        <v>30.8</v>
      </c>
      <c r="H317" s="50"/>
      <c r="I317" s="50"/>
      <c r="J317" s="30">
        <v>0</v>
      </c>
      <c r="K317" s="10"/>
      <c r="L317" s="59"/>
    </row>
    <row r="318" ht="12.75">
      <c r="F318" s="10" t="s">
        <v>831</v>
      </c>
    </row>
    <row r="319" spans="1:12" ht="12.75">
      <c r="A319" s="10" t="s">
        <v>193</v>
      </c>
      <c r="B319" s="10" t="s">
        <v>262</v>
      </c>
      <c r="C319" s="10" t="s">
        <v>359</v>
      </c>
      <c r="D319" s="10" t="s">
        <v>539</v>
      </c>
      <c r="E319" s="10" t="s">
        <v>615</v>
      </c>
      <c r="F319" s="10" t="s">
        <v>832</v>
      </c>
      <c r="G319" s="30">
        <v>16.9</v>
      </c>
      <c r="H319" s="50"/>
      <c r="I319" s="50"/>
      <c r="J319" s="30">
        <v>0</v>
      </c>
      <c r="K319" s="10"/>
      <c r="L319" s="59"/>
    </row>
    <row r="320" ht="12.75">
      <c r="F320" s="10" t="s">
        <v>833</v>
      </c>
    </row>
    <row r="321" ht="12.75">
      <c r="F321" s="10" t="s">
        <v>834</v>
      </c>
    </row>
    <row r="322" spans="1:12" ht="12.75">
      <c r="A322" s="20" t="s">
        <v>5</v>
      </c>
      <c r="B322" s="20" t="s">
        <v>5</v>
      </c>
      <c r="C322" s="20" t="s">
        <v>23</v>
      </c>
      <c r="D322" s="20" t="s">
        <v>540</v>
      </c>
      <c r="E322" s="20" t="s">
        <v>5</v>
      </c>
      <c r="F322" s="20" t="s">
        <v>5</v>
      </c>
      <c r="G322" s="44" t="s">
        <v>5</v>
      </c>
      <c r="H322" s="44" t="s">
        <v>5</v>
      </c>
      <c r="I322" s="44"/>
      <c r="J322" s="52">
        <v>0</v>
      </c>
      <c r="K322" s="20" t="s">
        <v>5</v>
      </c>
      <c r="L322" s="20" t="s">
        <v>5</v>
      </c>
    </row>
    <row r="323" spans="1:12" ht="12.75">
      <c r="A323" s="10" t="s">
        <v>194</v>
      </c>
      <c r="B323" s="10" t="s">
        <v>262</v>
      </c>
      <c r="C323" s="10" t="s">
        <v>280</v>
      </c>
      <c r="D323" s="10" t="s">
        <v>440</v>
      </c>
      <c r="E323" s="10" t="s">
        <v>615</v>
      </c>
      <c r="F323" s="10" t="s">
        <v>835</v>
      </c>
      <c r="G323" s="30">
        <v>16.9</v>
      </c>
      <c r="H323" s="50"/>
      <c r="I323" s="50"/>
      <c r="J323" s="30">
        <v>0</v>
      </c>
      <c r="K323" s="10" t="s">
        <v>872</v>
      </c>
      <c r="L323" s="59"/>
    </row>
    <row r="324" ht="12.75">
      <c r="F324" s="10" t="s">
        <v>836</v>
      </c>
    </row>
    <row r="325" spans="1:12" ht="12.75">
      <c r="A325" s="10" t="s">
        <v>195</v>
      </c>
      <c r="B325" s="10" t="s">
        <v>262</v>
      </c>
      <c r="C325" s="10" t="s">
        <v>360</v>
      </c>
      <c r="D325" s="10" t="s">
        <v>541</v>
      </c>
      <c r="E325" s="10" t="s">
        <v>615</v>
      </c>
      <c r="F325" s="10" t="s">
        <v>830</v>
      </c>
      <c r="G325" s="30">
        <v>30.8</v>
      </c>
      <c r="H325" s="50"/>
      <c r="I325" s="50"/>
      <c r="J325" s="30">
        <v>0</v>
      </c>
      <c r="K325" s="10"/>
      <c r="L325" s="59"/>
    </row>
    <row r="326" ht="12.75">
      <c r="F326" s="10" t="s">
        <v>837</v>
      </c>
    </row>
    <row r="327" spans="1:12" ht="12.75">
      <c r="A327" s="10" t="s">
        <v>196</v>
      </c>
      <c r="B327" s="10" t="s">
        <v>262</v>
      </c>
      <c r="C327" s="10" t="s">
        <v>361</v>
      </c>
      <c r="D327" s="10" t="s">
        <v>542</v>
      </c>
      <c r="E327" s="10" t="s">
        <v>615</v>
      </c>
      <c r="F327" s="10" t="s">
        <v>830</v>
      </c>
      <c r="G327" s="30">
        <v>30.8</v>
      </c>
      <c r="H327" s="50"/>
      <c r="I327" s="50"/>
      <c r="J327" s="30">
        <v>0</v>
      </c>
      <c r="K327" s="10"/>
      <c r="L327" s="59"/>
    </row>
    <row r="328" ht="12.75">
      <c r="F328" s="10" t="s">
        <v>837</v>
      </c>
    </row>
    <row r="329" spans="1:12" ht="12.75">
      <c r="A329" s="20" t="s">
        <v>5</v>
      </c>
      <c r="B329" s="20" t="s">
        <v>5</v>
      </c>
      <c r="C329" s="20" t="s">
        <v>51</v>
      </c>
      <c r="D329" s="20" t="s">
        <v>543</v>
      </c>
      <c r="E329" s="20" t="s">
        <v>5</v>
      </c>
      <c r="F329" s="20" t="s">
        <v>5</v>
      </c>
      <c r="G329" s="44" t="s">
        <v>5</v>
      </c>
      <c r="H329" s="44" t="s">
        <v>5</v>
      </c>
      <c r="I329" s="44"/>
      <c r="J329" s="52">
        <v>7.78997</v>
      </c>
      <c r="K329" s="20" t="s">
        <v>5</v>
      </c>
      <c r="L329" s="20" t="s">
        <v>5</v>
      </c>
    </row>
    <row r="330" spans="1:12" ht="12.75">
      <c r="A330" s="10" t="s">
        <v>197</v>
      </c>
      <c r="B330" s="10" t="s">
        <v>262</v>
      </c>
      <c r="C330" s="10" t="s">
        <v>362</v>
      </c>
      <c r="D330" s="10" t="s">
        <v>544</v>
      </c>
      <c r="E330" s="10" t="s">
        <v>615</v>
      </c>
      <c r="F330" s="10" t="s">
        <v>838</v>
      </c>
      <c r="G330" s="30">
        <v>4.12</v>
      </c>
      <c r="H330" s="50"/>
      <c r="I330" s="50"/>
      <c r="J330" s="30">
        <v>7.78997</v>
      </c>
      <c r="K330" s="10"/>
      <c r="L330" s="59"/>
    </row>
    <row r="331" ht="12.75">
      <c r="F331" s="10" t="s">
        <v>839</v>
      </c>
    </row>
    <row r="332" spans="1:12" ht="12.75">
      <c r="A332" s="10" t="s">
        <v>198</v>
      </c>
      <c r="B332" s="10" t="s">
        <v>262</v>
      </c>
      <c r="C332" s="10" t="s">
        <v>363</v>
      </c>
      <c r="D332" s="10" t="s">
        <v>545</v>
      </c>
      <c r="E332" s="10" t="s">
        <v>615</v>
      </c>
      <c r="F332" s="10" t="s">
        <v>840</v>
      </c>
      <c r="G332" s="30">
        <v>5.52</v>
      </c>
      <c r="H332" s="50"/>
      <c r="I332" s="50"/>
      <c r="J332" s="30">
        <v>0</v>
      </c>
      <c r="K332" s="10" t="s">
        <v>900</v>
      </c>
      <c r="L332" s="59"/>
    </row>
    <row r="333" ht="12.75">
      <c r="F333" s="10" t="s">
        <v>841</v>
      </c>
    </row>
    <row r="334" ht="12.75">
      <c r="F334" s="10" t="s">
        <v>842</v>
      </c>
    </row>
    <row r="335" ht="12.75">
      <c r="F335" s="10" t="s">
        <v>843</v>
      </c>
    </row>
    <row r="336" spans="1:12" ht="12.75">
      <c r="A336" s="20" t="s">
        <v>5</v>
      </c>
      <c r="B336" s="20" t="s">
        <v>5</v>
      </c>
      <c r="C336" s="20" t="s">
        <v>63</v>
      </c>
      <c r="D336" s="20" t="s">
        <v>461</v>
      </c>
      <c r="E336" s="20" t="s">
        <v>5</v>
      </c>
      <c r="F336" s="20" t="s">
        <v>5</v>
      </c>
      <c r="G336" s="44" t="s">
        <v>5</v>
      </c>
      <c r="H336" s="44" t="s">
        <v>5</v>
      </c>
      <c r="I336" s="44"/>
      <c r="J336" s="52">
        <v>15.7422</v>
      </c>
      <c r="K336" s="20" t="s">
        <v>5</v>
      </c>
      <c r="L336" s="20" t="s">
        <v>5</v>
      </c>
    </row>
    <row r="337" spans="1:12" ht="12.75">
      <c r="A337" s="10" t="s">
        <v>199</v>
      </c>
      <c r="B337" s="10" t="s">
        <v>262</v>
      </c>
      <c r="C337" s="10" t="s">
        <v>349</v>
      </c>
      <c r="D337" s="10" t="s">
        <v>522</v>
      </c>
      <c r="E337" s="10" t="s">
        <v>612</v>
      </c>
      <c r="F337" s="10" t="s">
        <v>821</v>
      </c>
      <c r="G337" s="30">
        <v>12</v>
      </c>
      <c r="H337" s="50"/>
      <c r="I337" s="50"/>
      <c r="J337" s="30">
        <v>15.7422</v>
      </c>
      <c r="K337" s="10" t="s">
        <v>876</v>
      </c>
      <c r="L337" s="59"/>
    </row>
    <row r="338" spans="1:12" ht="12.75">
      <c r="A338" s="10" t="s">
        <v>200</v>
      </c>
      <c r="B338" s="10" t="s">
        <v>262</v>
      </c>
      <c r="C338" s="10" t="s">
        <v>323</v>
      </c>
      <c r="D338" s="10" t="s">
        <v>490</v>
      </c>
      <c r="E338" s="10" t="s">
        <v>614</v>
      </c>
      <c r="F338" s="10"/>
      <c r="G338" s="30">
        <v>15.7422</v>
      </c>
      <c r="H338" s="50"/>
      <c r="I338" s="50"/>
      <c r="J338" s="30">
        <v>0</v>
      </c>
      <c r="K338" s="10"/>
      <c r="L338" s="59"/>
    </row>
    <row r="339" spans="1:12" ht="12.75">
      <c r="A339" s="20" t="s">
        <v>5</v>
      </c>
      <c r="B339" s="20" t="s">
        <v>5</v>
      </c>
      <c r="C339" s="20" t="s">
        <v>93</v>
      </c>
      <c r="D339" s="20" t="s">
        <v>546</v>
      </c>
      <c r="E339" s="20" t="s">
        <v>5</v>
      </c>
      <c r="F339" s="20" t="s">
        <v>5</v>
      </c>
      <c r="G339" s="44" t="s">
        <v>5</v>
      </c>
      <c r="H339" s="44" t="s">
        <v>5</v>
      </c>
      <c r="I339" s="44"/>
      <c r="J339" s="52">
        <v>2.52031</v>
      </c>
      <c r="K339" s="20" t="s">
        <v>5</v>
      </c>
      <c r="L339" s="20" t="s">
        <v>5</v>
      </c>
    </row>
    <row r="340" spans="1:12" ht="12.75">
      <c r="A340" s="10" t="s">
        <v>201</v>
      </c>
      <c r="B340" s="10" t="s">
        <v>262</v>
      </c>
      <c r="C340" s="10" t="s">
        <v>364</v>
      </c>
      <c r="D340" s="10" t="s">
        <v>577</v>
      </c>
      <c r="E340" s="10" t="s">
        <v>614</v>
      </c>
      <c r="F340" s="10" t="s">
        <v>844</v>
      </c>
      <c r="G340" s="30">
        <v>7.79</v>
      </c>
      <c r="H340" s="50"/>
      <c r="I340" s="50"/>
      <c r="J340" s="30">
        <v>0</v>
      </c>
      <c r="K340" s="10"/>
      <c r="L340" s="59"/>
    </row>
    <row r="341" ht="12.75">
      <c r="F341" s="10" t="s">
        <v>845</v>
      </c>
    </row>
    <row r="342" spans="1:12" ht="12.75">
      <c r="A342" s="10" t="s">
        <v>202</v>
      </c>
      <c r="B342" s="10" t="s">
        <v>262</v>
      </c>
      <c r="C342" s="10" t="s">
        <v>365</v>
      </c>
      <c r="D342" s="10" t="s">
        <v>548</v>
      </c>
      <c r="E342" s="10" t="s">
        <v>616</v>
      </c>
      <c r="F342" s="10" t="s">
        <v>846</v>
      </c>
      <c r="G342" s="30">
        <v>15.22</v>
      </c>
      <c r="H342" s="50"/>
      <c r="I342" s="50"/>
      <c r="J342" s="30">
        <v>0.00015</v>
      </c>
      <c r="K342" s="10"/>
      <c r="L342" s="59"/>
    </row>
    <row r="343" ht="12.75">
      <c r="F343" s="10" t="s">
        <v>847</v>
      </c>
    </row>
    <row r="344" spans="1:12" ht="12.75">
      <c r="A344" s="10" t="s">
        <v>203</v>
      </c>
      <c r="B344" s="10" t="s">
        <v>262</v>
      </c>
      <c r="C344" s="10" t="s">
        <v>288</v>
      </c>
      <c r="D344" s="10" t="s">
        <v>450</v>
      </c>
      <c r="E344" s="10" t="s">
        <v>613</v>
      </c>
      <c r="F344" s="10"/>
      <c r="G344" s="30">
        <v>1</v>
      </c>
      <c r="H344" s="50"/>
      <c r="I344" s="50"/>
      <c r="J344" s="30">
        <v>0.00918</v>
      </c>
      <c r="K344" s="10"/>
      <c r="L344" s="59"/>
    </row>
    <row r="345" spans="1:12" ht="12.75">
      <c r="A345" s="10" t="s">
        <v>204</v>
      </c>
      <c r="B345" s="10" t="s">
        <v>262</v>
      </c>
      <c r="C345" s="10" t="s">
        <v>368</v>
      </c>
      <c r="D345" s="10" t="s">
        <v>551</v>
      </c>
      <c r="E345" s="10" t="s">
        <v>613</v>
      </c>
      <c r="F345" s="10" t="s">
        <v>11</v>
      </c>
      <c r="G345" s="30">
        <v>5</v>
      </c>
      <c r="H345" s="50"/>
      <c r="I345" s="50"/>
      <c r="J345" s="30">
        <v>2.51075</v>
      </c>
      <c r="K345" s="10"/>
      <c r="L345" s="59"/>
    </row>
    <row r="346" spans="1:12" ht="12.75">
      <c r="A346" s="10" t="s">
        <v>205</v>
      </c>
      <c r="B346" s="10" t="s">
        <v>262</v>
      </c>
      <c r="C346" s="10" t="s">
        <v>393</v>
      </c>
      <c r="D346" s="10" t="s">
        <v>578</v>
      </c>
      <c r="E346" s="10" t="s">
        <v>616</v>
      </c>
      <c r="F346" s="10"/>
      <c r="G346" s="30">
        <v>125.22</v>
      </c>
      <c r="H346" s="50"/>
      <c r="I346" s="50"/>
      <c r="J346" s="30">
        <v>0</v>
      </c>
      <c r="K346" s="10"/>
      <c r="L346" s="59"/>
    </row>
    <row r="347" spans="1:12" ht="12.75">
      <c r="A347" s="10" t="s">
        <v>206</v>
      </c>
      <c r="B347" s="10" t="s">
        <v>262</v>
      </c>
      <c r="C347" s="10" t="s">
        <v>366</v>
      </c>
      <c r="D347" s="10" t="s">
        <v>549</v>
      </c>
      <c r="E347" s="10" t="s">
        <v>616</v>
      </c>
      <c r="F347" s="10" t="s">
        <v>848</v>
      </c>
      <c r="G347" s="30">
        <v>22.92</v>
      </c>
      <c r="H347" s="50"/>
      <c r="I347" s="50"/>
      <c r="J347" s="30">
        <v>0.00023</v>
      </c>
      <c r="K347" s="10"/>
      <c r="L347" s="59"/>
    </row>
    <row r="348" ht="12.75">
      <c r="F348" s="10" t="s">
        <v>849</v>
      </c>
    </row>
    <row r="349" spans="1:12" ht="12.75">
      <c r="A349" s="20" t="s">
        <v>5</v>
      </c>
      <c r="B349" s="20" t="s">
        <v>5</v>
      </c>
      <c r="C349" s="20" t="s">
        <v>95</v>
      </c>
      <c r="D349" s="20" t="s">
        <v>473</v>
      </c>
      <c r="E349" s="20" t="s">
        <v>5</v>
      </c>
      <c r="F349" s="20" t="s">
        <v>5</v>
      </c>
      <c r="G349" s="44" t="s">
        <v>5</v>
      </c>
      <c r="H349" s="44" t="s">
        <v>5</v>
      </c>
      <c r="I349" s="44"/>
      <c r="J349" s="52">
        <v>1.7561</v>
      </c>
      <c r="K349" s="20" t="s">
        <v>5</v>
      </c>
      <c r="L349" s="20" t="s">
        <v>5</v>
      </c>
    </row>
    <row r="350" spans="1:12" ht="12.75">
      <c r="A350" s="10" t="s">
        <v>207</v>
      </c>
      <c r="B350" s="10" t="s">
        <v>262</v>
      </c>
      <c r="C350" s="10" t="s">
        <v>394</v>
      </c>
      <c r="D350" s="10" t="s">
        <v>579</v>
      </c>
      <c r="E350" s="10" t="s">
        <v>616</v>
      </c>
      <c r="F350" s="10" t="s">
        <v>821</v>
      </c>
      <c r="G350" s="30">
        <v>12</v>
      </c>
      <c r="H350" s="50"/>
      <c r="I350" s="50"/>
      <c r="J350" s="30">
        <v>0</v>
      </c>
      <c r="K350" s="10"/>
      <c r="L350" s="59"/>
    </row>
    <row r="351" spans="1:12" ht="12.75">
      <c r="A351" s="10" t="s">
        <v>208</v>
      </c>
      <c r="B351" s="10" t="s">
        <v>262</v>
      </c>
      <c r="C351" s="10" t="s">
        <v>313</v>
      </c>
      <c r="D351" s="10" t="s">
        <v>479</v>
      </c>
      <c r="E351" s="10" t="s">
        <v>616</v>
      </c>
      <c r="F351" s="10"/>
      <c r="G351" s="30">
        <v>12</v>
      </c>
      <c r="H351" s="50"/>
      <c r="I351" s="50"/>
      <c r="J351" s="30">
        <v>0.0516</v>
      </c>
      <c r="K351" s="10"/>
      <c r="L351" s="59"/>
    </row>
    <row r="352" spans="1:12" ht="12.75">
      <c r="A352" s="10" t="s">
        <v>209</v>
      </c>
      <c r="B352" s="10" t="s">
        <v>262</v>
      </c>
      <c r="C352" s="10" t="s">
        <v>312</v>
      </c>
      <c r="D352" s="10" t="s">
        <v>478</v>
      </c>
      <c r="E352" s="10" t="s">
        <v>616</v>
      </c>
      <c r="F352" s="10"/>
      <c r="G352" s="30">
        <v>12</v>
      </c>
      <c r="H352" s="50"/>
      <c r="I352" s="50"/>
      <c r="J352" s="30">
        <v>0</v>
      </c>
      <c r="K352" s="10"/>
      <c r="L352" s="59"/>
    </row>
    <row r="353" spans="1:12" ht="12.75">
      <c r="A353" s="10" t="s">
        <v>210</v>
      </c>
      <c r="B353" s="10" t="s">
        <v>262</v>
      </c>
      <c r="C353" s="10" t="s">
        <v>395</v>
      </c>
      <c r="D353" s="10" t="s">
        <v>580</v>
      </c>
      <c r="E353" s="10" t="s">
        <v>613</v>
      </c>
      <c r="F353" s="10"/>
      <c r="G353" s="30">
        <v>5</v>
      </c>
      <c r="H353" s="50"/>
      <c r="I353" s="50"/>
      <c r="J353" s="30">
        <v>1.7045</v>
      </c>
      <c r="K353" s="10"/>
      <c r="L353" s="59"/>
    </row>
    <row r="354" spans="1:12" ht="12.75">
      <c r="A354" s="10" t="s">
        <v>211</v>
      </c>
      <c r="B354" s="10" t="s">
        <v>262</v>
      </c>
      <c r="C354" s="10" t="s">
        <v>394</v>
      </c>
      <c r="D354" s="10" t="s">
        <v>579</v>
      </c>
      <c r="E354" s="10" t="s">
        <v>616</v>
      </c>
      <c r="F354" s="10" t="s">
        <v>821</v>
      </c>
      <c r="G354" s="30">
        <v>12</v>
      </c>
      <c r="H354" s="50"/>
      <c r="I354" s="50"/>
      <c r="J354" s="30">
        <v>0</v>
      </c>
      <c r="K354" s="10"/>
      <c r="L354" s="59"/>
    </row>
    <row r="355" spans="1:12" ht="12.75">
      <c r="A355" s="20" t="s">
        <v>5</v>
      </c>
      <c r="B355" s="20" t="s">
        <v>5</v>
      </c>
      <c r="C355" s="20"/>
      <c r="D355" s="20" t="s">
        <v>487</v>
      </c>
      <c r="E355" s="20" t="s">
        <v>5</v>
      </c>
      <c r="F355" s="20" t="s">
        <v>5</v>
      </c>
      <c r="G355" s="44" t="s">
        <v>5</v>
      </c>
      <c r="H355" s="44" t="s">
        <v>5</v>
      </c>
      <c r="I355" s="44"/>
      <c r="J355" s="52">
        <v>7.0484</v>
      </c>
      <c r="K355" s="20" t="s">
        <v>5</v>
      </c>
      <c r="L355" s="20" t="s">
        <v>5</v>
      </c>
    </row>
    <row r="356" spans="1:12" ht="12.75">
      <c r="A356" s="10" t="s">
        <v>212</v>
      </c>
      <c r="B356" s="10" t="s">
        <v>262</v>
      </c>
      <c r="C356" s="10" t="s">
        <v>376</v>
      </c>
      <c r="D356" s="10" t="s">
        <v>559</v>
      </c>
      <c r="E356" s="10" t="s">
        <v>618</v>
      </c>
      <c r="F356" s="10"/>
      <c r="G356" s="30">
        <v>20</v>
      </c>
      <c r="H356" s="50"/>
      <c r="I356" s="50"/>
      <c r="J356" s="30">
        <v>0</v>
      </c>
      <c r="K356" s="10"/>
      <c r="L356" s="59"/>
    </row>
    <row r="357" spans="1:12" ht="12.75">
      <c r="A357" s="10" t="s">
        <v>213</v>
      </c>
      <c r="B357" s="10" t="s">
        <v>262</v>
      </c>
      <c r="C357" s="10" t="s">
        <v>396</v>
      </c>
      <c r="D357" s="10" t="s">
        <v>581</v>
      </c>
      <c r="E357" s="10" t="s">
        <v>618</v>
      </c>
      <c r="F357" s="10"/>
      <c r="G357" s="30">
        <v>4</v>
      </c>
      <c r="H357" s="50"/>
      <c r="I357" s="50"/>
      <c r="J357" s="30">
        <v>0</v>
      </c>
      <c r="K357" s="10"/>
      <c r="L357" s="59"/>
    </row>
    <row r="358" spans="1:12" ht="12.75">
      <c r="A358" s="10" t="s">
        <v>214</v>
      </c>
      <c r="B358" s="10" t="s">
        <v>262</v>
      </c>
      <c r="C358" s="10" t="s">
        <v>377</v>
      </c>
      <c r="D358" s="10" t="s">
        <v>560</v>
      </c>
      <c r="E358" s="10" t="s">
        <v>620</v>
      </c>
      <c r="F358" s="10" t="s">
        <v>850</v>
      </c>
      <c r="G358" s="30">
        <v>5.53</v>
      </c>
      <c r="H358" s="50"/>
      <c r="I358" s="50"/>
      <c r="J358" s="30">
        <v>5.53</v>
      </c>
      <c r="K358" s="10"/>
      <c r="L358" s="59"/>
    </row>
    <row r="359" ht="12.75">
      <c r="F359" s="10" t="s">
        <v>851</v>
      </c>
    </row>
    <row r="360" spans="1:12" ht="12.75">
      <c r="A360" s="10" t="s">
        <v>215</v>
      </c>
      <c r="B360" s="10" t="s">
        <v>262</v>
      </c>
      <c r="C360" s="10" t="s">
        <v>378</v>
      </c>
      <c r="D360" s="10" t="s">
        <v>561</v>
      </c>
      <c r="E360" s="10" t="s">
        <v>613</v>
      </c>
      <c r="F360" s="10"/>
      <c r="G360" s="30">
        <v>2</v>
      </c>
      <c r="H360" s="50"/>
      <c r="I360" s="50"/>
      <c r="J360" s="30">
        <v>0.044</v>
      </c>
      <c r="K360" s="10"/>
      <c r="L360" s="59"/>
    </row>
    <row r="361" spans="1:12" ht="12.75">
      <c r="A361" s="10" t="s">
        <v>216</v>
      </c>
      <c r="B361" s="10" t="s">
        <v>262</v>
      </c>
      <c r="C361" s="10" t="s">
        <v>397</v>
      </c>
      <c r="D361" s="10" t="s">
        <v>582</v>
      </c>
      <c r="E361" s="10" t="s">
        <v>613</v>
      </c>
      <c r="F361" s="10"/>
      <c r="G361" s="30">
        <v>1</v>
      </c>
      <c r="H361" s="50"/>
      <c r="I361" s="50"/>
      <c r="J361" s="30">
        <v>0.0131</v>
      </c>
      <c r="K361" s="10"/>
      <c r="L361" s="59"/>
    </row>
    <row r="362" spans="1:12" ht="12.75">
      <c r="A362" s="10" t="s">
        <v>217</v>
      </c>
      <c r="B362" s="10" t="s">
        <v>262</v>
      </c>
      <c r="C362" s="10" t="s">
        <v>379</v>
      </c>
      <c r="D362" s="10" t="s">
        <v>562</v>
      </c>
      <c r="E362" s="10" t="s">
        <v>613</v>
      </c>
      <c r="F362" s="10"/>
      <c r="G362" s="30">
        <v>5</v>
      </c>
      <c r="H362" s="50"/>
      <c r="I362" s="50"/>
      <c r="J362" s="30">
        <v>0.7615</v>
      </c>
      <c r="K362" s="10"/>
      <c r="L362" s="59"/>
    </row>
    <row r="363" spans="1:12" ht="12.75">
      <c r="A363" s="10" t="s">
        <v>218</v>
      </c>
      <c r="B363" s="10" t="s">
        <v>262</v>
      </c>
      <c r="C363" s="10" t="s">
        <v>380</v>
      </c>
      <c r="D363" s="10" t="s">
        <v>563</v>
      </c>
      <c r="E363" s="10" t="s">
        <v>613</v>
      </c>
      <c r="F363" s="10"/>
      <c r="G363" s="30">
        <v>3</v>
      </c>
      <c r="H363" s="50"/>
      <c r="I363" s="50"/>
      <c r="J363" s="30">
        <v>0.507</v>
      </c>
      <c r="K363" s="10"/>
      <c r="L363" s="59"/>
    </row>
    <row r="364" spans="1:12" ht="12.75">
      <c r="A364" s="10" t="s">
        <v>219</v>
      </c>
      <c r="B364" s="10" t="s">
        <v>262</v>
      </c>
      <c r="C364" s="10" t="s">
        <v>385</v>
      </c>
      <c r="D364" s="10" t="s">
        <v>568</v>
      </c>
      <c r="E364" s="10" t="s">
        <v>616</v>
      </c>
      <c r="F364" s="10"/>
      <c r="G364" s="30">
        <v>15.22</v>
      </c>
      <c r="H364" s="50"/>
      <c r="I364" s="50"/>
      <c r="J364" s="30">
        <v>0</v>
      </c>
      <c r="K364" s="10"/>
      <c r="L364" s="59"/>
    </row>
    <row r="365" spans="1:12" ht="12.75">
      <c r="A365" s="10" t="s">
        <v>220</v>
      </c>
      <c r="B365" s="10" t="s">
        <v>262</v>
      </c>
      <c r="C365" s="10" t="s">
        <v>398</v>
      </c>
      <c r="D365" s="10" t="s">
        <v>583</v>
      </c>
      <c r="E365" s="10" t="s">
        <v>613</v>
      </c>
      <c r="F365" s="10"/>
      <c r="G365" s="30">
        <v>4</v>
      </c>
      <c r="H365" s="50"/>
      <c r="I365" s="50"/>
      <c r="J365" s="30">
        <v>0.088</v>
      </c>
      <c r="K365" s="10"/>
      <c r="L365" s="59"/>
    </row>
    <row r="366" spans="1:12" ht="12.75">
      <c r="A366" s="10" t="s">
        <v>221</v>
      </c>
      <c r="B366" s="10" t="s">
        <v>262</v>
      </c>
      <c r="C366" s="10" t="s">
        <v>383</v>
      </c>
      <c r="D366" s="10" t="s">
        <v>566</v>
      </c>
      <c r="E366" s="10" t="s">
        <v>613</v>
      </c>
      <c r="F366" s="10"/>
      <c r="G366" s="30">
        <v>4</v>
      </c>
      <c r="H366" s="50"/>
      <c r="I366" s="50"/>
      <c r="J366" s="30">
        <v>0.1048</v>
      </c>
      <c r="K366" s="10"/>
      <c r="L366" s="59"/>
    </row>
    <row r="367" spans="1:12" ht="12.75">
      <c r="A367" s="10" t="s">
        <v>222</v>
      </c>
      <c r="B367" s="10" t="s">
        <v>262</v>
      </c>
      <c r="C367" s="10" t="s">
        <v>399</v>
      </c>
      <c r="D367" s="10" t="s">
        <v>584</v>
      </c>
      <c r="E367" s="10" t="s">
        <v>618</v>
      </c>
      <c r="F367" s="10"/>
      <c r="G367" s="30">
        <v>4</v>
      </c>
      <c r="H367" s="50"/>
      <c r="I367" s="50"/>
      <c r="J367" s="30">
        <v>0</v>
      </c>
      <c r="K367" s="10"/>
      <c r="L367" s="59"/>
    </row>
    <row r="368" spans="1:12" ht="12.75">
      <c r="A368" s="20" t="s">
        <v>5</v>
      </c>
      <c r="B368" s="20" t="s">
        <v>5</v>
      </c>
      <c r="C368" s="20"/>
      <c r="D368" s="20" t="s">
        <v>585</v>
      </c>
      <c r="E368" s="20" t="s">
        <v>5</v>
      </c>
      <c r="F368" s="20" t="s">
        <v>5</v>
      </c>
      <c r="G368" s="44" t="s">
        <v>5</v>
      </c>
      <c r="H368" s="44" t="s">
        <v>5</v>
      </c>
      <c r="I368" s="44"/>
      <c r="J368" s="52">
        <v>411.38943</v>
      </c>
      <c r="K368" s="20" t="s">
        <v>5</v>
      </c>
      <c r="L368" s="20" t="s">
        <v>5</v>
      </c>
    </row>
    <row r="369" spans="1:12" ht="12.75">
      <c r="A369" s="20" t="s">
        <v>5</v>
      </c>
      <c r="B369" s="20" t="s">
        <v>5</v>
      </c>
      <c r="C369" s="20" t="s">
        <v>19</v>
      </c>
      <c r="D369" s="20" t="s">
        <v>529</v>
      </c>
      <c r="E369" s="20" t="s">
        <v>5</v>
      </c>
      <c r="F369" s="20" t="s">
        <v>5</v>
      </c>
      <c r="G369" s="44" t="s">
        <v>5</v>
      </c>
      <c r="H369" s="44" t="s">
        <v>5</v>
      </c>
      <c r="I369" s="44"/>
      <c r="J369" s="52">
        <v>305.505</v>
      </c>
      <c r="K369" s="20" t="s">
        <v>5</v>
      </c>
      <c r="L369" s="20" t="s">
        <v>5</v>
      </c>
    </row>
    <row r="370" spans="1:12" ht="12.75">
      <c r="A370" s="10" t="s">
        <v>223</v>
      </c>
      <c r="B370" s="10" t="s">
        <v>263</v>
      </c>
      <c r="C370" s="10" t="s">
        <v>353</v>
      </c>
      <c r="D370" s="10" t="s">
        <v>530</v>
      </c>
      <c r="E370" s="10" t="s">
        <v>615</v>
      </c>
      <c r="F370" s="10" t="s">
        <v>852</v>
      </c>
      <c r="G370" s="30">
        <v>43.425</v>
      </c>
      <c r="H370" s="50"/>
      <c r="I370" s="50"/>
      <c r="J370" s="30">
        <v>0</v>
      </c>
      <c r="K370" s="10"/>
      <c r="L370" s="59"/>
    </row>
    <row r="371" spans="1:12" ht="12.75">
      <c r="A371" s="10" t="s">
        <v>224</v>
      </c>
      <c r="B371" s="10" t="s">
        <v>263</v>
      </c>
      <c r="C371" s="10" t="s">
        <v>391</v>
      </c>
      <c r="D371" s="10" t="s">
        <v>575</v>
      </c>
      <c r="E371" s="10" t="s">
        <v>615</v>
      </c>
      <c r="F371" s="10" t="s">
        <v>853</v>
      </c>
      <c r="G371" s="30">
        <v>164.25</v>
      </c>
      <c r="H371" s="50"/>
      <c r="I371" s="50"/>
      <c r="J371" s="30">
        <v>305.505</v>
      </c>
      <c r="K371" s="10" t="s">
        <v>902</v>
      </c>
      <c r="L371" s="59"/>
    </row>
    <row r="372" spans="1:12" ht="12.75">
      <c r="A372" s="20" t="s">
        <v>5</v>
      </c>
      <c r="B372" s="20" t="s">
        <v>5</v>
      </c>
      <c r="C372" s="20" t="s">
        <v>20</v>
      </c>
      <c r="D372" s="20" t="s">
        <v>531</v>
      </c>
      <c r="E372" s="20" t="s">
        <v>5</v>
      </c>
      <c r="F372" s="20" t="s">
        <v>5</v>
      </c>
      <c r="G372" s="44" t="s">
        <v>5</v>
      </c>
      <c r="H372" s="44" t="s">
        <v>5</v>
      </c>
      <c r="I372" s="44"/>
      <c r="J372" s="52">
        <v>0.20328</v>
      </c>
      <c r="K372" s="20" t="s">
        <v>5</v>
      </c>
      <c r="L372" s="20" t="s">
        <v>5</v>
      </c>
    </row>
    <row r="373" spans="1:12" ht="12.75">
      <c r="A373" s="10" t="s">
        <v>225</v>
      </c>
      <c r="B373" s="10" t="s">
        <v>263</v>
      </c>
      <c r="C373" s="10" t="s">
        <v>355</v>
      </c>
      <c r="D373" s="10" t="s">
        <v>533</v>
      </c>
      <c r="E373" s="10" t="s">
        <v>616</v>
      </c>
      <c r="F373" s="10" t="s">
        <v>854</v>
      </c>
      <c r="G373" s="30">
        <v>28</v>
      </c>
      <c r="H373" s="50"/>
      <c r="I373" s="50"/>
      <c r="J373" s="30">
        <v>0.20328</v>
      </c>
      <c r="K373" s="10" t="s">
        <v>904</v>
      </c>
      <c r="L373" s="59"/>
    </row>
    <row r="374" spans="1:12" ht="12.75">
      <c r="A374" s="20" t="s">
        <v>5</v>
      </c>
      <c r="B374" s="20" t="s">
        <v>5</v>
      </c>
      <c r="C374" s="20" t="s">
        <v>22</v>
      </c>
      <c r="D374" s="20" t="s">
        <v>537</v>
      </c>
      <c r="E374" s="20" t="s">
        <v>5</v>
      </c>
      <c r="F374" s="20" t="s">
        <v>5</v>
      </c>
      <c r="G374" s="44" t="s">
        <v>5</v>
      </c>
      <c r="H374" s="44" t="s">
        <v>5</v>
      </c>
      <c r="I374" s="44"/>
      <c r="J374" s="52">
        <v>0</v>
      </c>
      <c r="K374" s="20" t="s">
        <v>5</v>
      </c>
      <c r="L374" s="20" t="s">
        <v>5</v>
      </c>
    </row>
    <row r="375" spans="1:12" ht="12.75">
      <c r="A375" s="10" t="s">
        <v>226</v>
      </c>
      <c r="B375" s="10" t="s">
        <v>263</v>
      </c>
      <c r="C375" s="10" t="s">
        <v>358</v>
      </c>
      <c r="D375" s="10" t="s">
        <v>538</v>
      </c>
      <c r="E375" s="10" t="s">
        <v>615</v>
      </c>
      <c r="F375" s="10" t="s">
        <v>855</v>
      </c>
      <c r="G375" s="30">
        <v>164.25</v>
      </c>
      <c r="H375" s="50"/>
      <c r="I375" s="50"/>
      <c r="J375" s="30">
        <v>0</v>
      </c>
      <c r="K375" s="10"/>
      <c r="L375" s="59"/>
    </row>
    <row r="376" spans="1:12" ht="12.75">
      <c r="A376" s="10" t="s">
        <v>227</v>
      </c>
      <c r="B376" s="10" t="s">
        <v>263</v>
      </c>
      <c r="C376" s="10" t="s">
        <v>373</v>
      </c>
      <c r="D376" s="10" t="s">
        <v>556</v>
      </c>
      <c r="E376" s="10" t="s">
        <v>615</v>
      </c>
      <c r="F376" s="10" t="s">
        <v>856</v>
      </c>
      <c r="G376" s="30">
        <v>114.8</v>
      </c>
      <c r="H376" s="50"/>
      <c r="I376" s="50"/>
      <c r="J376" s="30">
        <v>0</v>
      </c>
      <c r="K376" s="10"/>
      <c r="L376" s="59"/>
    </row>
    <row r="377" spans="1:12" ht="12.75">
      <c r="A377" s="10" t="s">
        <v>228</v>
      </c>
      <c r="B377" s="10" t="s">
        <v>263</v>
      </c>
      <c r="C377" s="10" t="s">
        <v>359</v>
      </c>
      <c r="D377" s="10" t="s">
        <v>539</v>
      </c>
      <c r="E377" s="10" t="s">
        <v>615</v>
      </c>
      <c r="F377" s="10" t="s">
        <v>857</v>
      </c>
      <c r="G377" s="30">
        <v>89.9</v>
      </c>
      <c r="H377" s="50"/>
      <c r="I377" s="50"/>
      <c r="J377" s="30">
        <v>0</v>
      </c>
      <c r="K377" s="10"/>
      <c r="L377" s="59"/>
    </row>
    <row r="378" spans="1:12" ht="12.75">
      <c r="A378" s="20" t="s">
        <v>5</v>
      </c>
      <c r="B378" s="20" t="s">
        <v>5</v>
      </c>
      <c r="C378" s="20" t="s">
        <v>23</v>
      </c>
      <c r="D378" s="20" t="s">
        <v>540</v>
      </c>
      <c r="E378" s="20" t="s">
        <v>5</v>
      </c>
      <c r="F378" s="20" t="s">
        <v>5</v>
      </c>
      <c r="G378" s="44" t="s">
        <v>5</v>
      </c>
      <c r="H378" s="44" t="s">
        <v>5</v>
      </c>
      <c r="I378" s="44"/>
      <c r="J378" s="52">
        <v>0</v>
      </c>
      <c r="K378" s="20" t="s">
        <v>5</v>
      </c>
      <c r="L378" s="20" t="s">
        <v>5</v>
      </c>
    </row>
    <row r="379" spans="1:12" ht="12.75">
      <c r="A379" s="10" t="s">
        <v>229</v>
      </c>
      <c r="B379" s="10" t="s">
        <v>263</v>
      </c>
      <c r="C379" s="10" t="s">
        <v>280</v>
      </c>
      <c r="D379" s="10" t="s">
        <v>440</v>
      </c>
      <c r="E379" s="10" t="s">
        <v>615</v>
      </c>
      <c r="F379" s="10" t="s">
        <v>857</v>
      </c>
      <c r="G379" s="30">
        <v>89.9</v>
      </c>
      <c r="H379" s="50"/>
      <c r="I379" s="50"/>
      <c r="J379" s="30">
        <v>0</v>
      </c>
      <c r="K379" s="10" t="s">
        <v>872</v>
      </c>
      <c r="L379" s="59"/>
    </row>
    <row r="380" spans="1:12" ht="12.75">
      <c r="A380" s="10" t="s">
        <v>230</v>
      </c>
      <c r="B380" s="10" t="s">
        <v>263</v>
      </c>
      <c r="C380" s="10" t="s">
        <v>360</v>
      </c>
      <c r="D380" s="10" t="s">
        <v>541</v>
      </c>
      <c r="E380" s="10" t="s">
        <v>615</v>
      </c>
      <c r="F380" s="10" t="s">
        <v>856</v>
      </c>
      <c r="G380" s="30">
        <v>114.8</v>
      </c>
      <c r="H380" s="50"/>
      <c r="I380" s="50"/>
      <c r="J380" s="30">
        <v>0</v>
      </c>
      <c r="K380" s="10"/>
      <c r="L380" s="59"/>
    </row>
    <row r="381" spans="1:12" ht="12.75">
      <c r="A381" s="10" t="s">
        <v>231</v>
      </c>
      <c r="B381" s="10" t="s">
        <v>263</v>
      </c>
      <c r="C381" s="10" t="s">
        <v>361</v>
      </c>
      <c r="D381" s="10" t="s">
        <v>542</v>
      </c>
      <c r="E381" s="10" t="s">
        <v>615</v>
      </c>
      <c r="F381" s="10" t="s">
        <v>856</v>
      </c>
      <c r="G381" s="30">
        <v>114.8</v>
      </c>
      <c r="H381" s="50"/>
      <c r="I381" s="50"/>
      <c r="J381" s="30">
        <v>0</v>
      </c>
      <c r="K381" s="10"/>
      <c r="L381" s="59"/>
    </row>
    <row r="382" spans="1:12" ht="12.75">
      <c r="A382" s="20" t="s">
        <v>5</v>
      </c>
      <c r="B382" s="20" t="s">
        <v>5</v>
      </c>
      <c r="C382" s="20" t="s">
        <v>51</v>
      </c>
      <c r="D382" s="20" t="s">
        <v>543</v>
      </c>
      <c r="E382" s="20" t="s">
        <v>5</v>
      </c>
      <c r="F382" s="20" t="s">
        <v>5</v>
      </c>
      <c r="G382" s="44" t="s">
        <v>5</v>
      </c>
      <c r="H382" s="44" t="s">
        <v>5</v>
      </c>
      <c r="I382" s="44"/>
      <c r="J382" s="52">
        <v>41.37005</v>
      </c>
      <c r="K382" s="20" t="s">
        <v>5</v>
      </c>
      <c r="L382" s="20" t="s">
        <v>5</v>
      </c>
    </row>
    <row r="383" spans="1:12" ht="12.75">
      <c r="A383" s="10" t="s">
        <v>232</v>
      </c>
      <c r="B383" s="10" t="s">
        <v>263</v>
      </c>
      <c r="C383" s="10" t="s">
        <v>362</v>
      </c>
      <c r="D383" s="10" t="s">
        <v>544</v>
      </c>
      <c r="E383" s="10" t="s">
        <v>615</v>
      </c>
      <c r="F383" s="10" t="s">
        <v>858</v>
      </c>
      <c r="G383" s="30">
        <v>21.88</v>
      </c>
      <c r="H383" s="50"/>
      <c r="I383" s="50"/>
      <c r="J383" s="30">
        <v>41.37005</v>
      </c>
      <c r="K383" s="10"/>
      <c r="L383" s="59"/>
    </row>
    <row r="384" spans="1:12" ht="12.75">
      <c r="A384" s="10" t="s">
        <v>233</v>
      </c>
      <c r="B384" s="10" t="s">
        <v>263</v>
      </c>
      <c r="C384" s="10" t="s">
        <v>363</v>
      </c>
      <c r="D384" s="10" t="s">
        <v>545</v>
      </c>
      <c r="E384" s="10" t="s">
        <v>615</v>
      </c>
      <c r="F384" s="10" t="s">
        <v>859</v>
      </c>
      <c r="G384" s="30">
        <v>64.32</v>
      </c>
      <c r="H384" s="50"/>
      <c r="I384" s="50"/>
      <c r="J384" s="30">
        <v>0</v>
      </c>
      <c r="K384" s="10" t="s">
        <v>900</v>
      </c>
      <c r="L384" s="59"/>
    </row>
    <row r="385" ht="12.75">
      <c r="F385" s="10" t="s">
        <v>860</v>
      </c>
    </row>
    <row r="386" spans="1:12" ht="12.75">
      <c r="A386" s="20" t="s">
        <v>5</v>
      </c>
      <c r="B386" s="20" t="s">
        <v>5</v>
      </c>
      <c r="C386" s="20" t="s">
        <v>93</v>
      </c>
      <c r="D386" s="20" t="s">
        <v>546</v>
      </c>
      <c r="E386" s="20" t="s">
        <v>5</v>
      </c>
      <c r="F386" s="20" t="s">
        <v>5</v>
      </c>
      <c r="G386" s="44" t="s">
        <v>5</v>
      </c>
      <c r="H386" s="44" t="s">
        <v>5</v>
      </c>
      <c r="I386" s="44"/>
      <c r="J386" s="52">
        <v>0.0011</v>
      </c>
      <c r="K386" s="20" t="s">
        <v>5</v>
      </c>
      <c r="L386" s="20" t="s">
        <v>5</v>
      </c>
    </row>
    <row r="387" spans="1:12" ht="12.75">
      <c r="A387" s="10" t="s">
        <v>234</v>
      </c>
      <c r="B387" s="10" t="s">
        <v>263</v>
      </c>
      <c r="C387" s="10" t="s">
        <v>364</v>
      </c>
      <c r="D387" s="10" t="s">
        <v>577</v>
      </c>
      <c r="E387" s="10" t="s">
        <v>614</v>
      </c>
      <c r="F387" s="10" t="s">
        <v>861</v>
      </c>
      <c r="G387" s="30">
        <v>41.37</v>
      </c>
      <c r="H387" s="50"/>
      <c r="I387" s="50"/>
      <c r="J387" s="30">
        <v>0</v>
      </c>
      <c r="K387" s="10"/>
      <c r="L387" s="59"/>
    </row>
    <row r="388" spans="1:12" ht="12.75">
      <c r="A388" s="10" t="s">
        <v>235</v>
      </c>
      <c r="B388" s="10" t="s">
        <v>263</v>
      </c>
      <c r="C388" s="10" t="s">
        <v>365</v>
      </c>
      <c r="D388" s="10" t="s">
        <v>548</v>
      </c>
      <c r="E388" s="10" t="s">
        <v>616</v>
      </c>
      <c r="F388" s="10" t="s">
        <v>116</v>
      </c>
      <c r="G388" s="30">
        <v>110</v>
      </c>
      <c r="H388" s="50"/>
      <c r="I388" s="50"/>
      <c r="J388" s="30">
        <v>0.0011</v>
      </c>
      <c r="K388" s="10"/>
      <c r="L388" s="59"/>
    </row>
    <row r="389" spans="1:12" ht="12.75">
      <c r="A389" s="20" t="s">
        <v>5</v>
      </c>
      <c r="B389" s="20" t="s">
        <v>5</v>
      </c>
      <c r="C389" s="20"/>
      <c r="D389" s="20" t="s">
        <v>487</v>
      </c>
      <c r="E389" s="20" t="s">
        <v>5</v>
      </c>
      <c r="F389" s="20" t="s">
        <v>5</v>
      </c>
      <c r="G389" s="44" t="s">
        <v>5</v>
      </c>
      <c r="H389" s="44" t="s">
        <v>5</v>
      </c>
      <c r="I389" s="44"/>
      <c r="J389" s="52">
        <v>64.31</v>
      </c>
      <c r="K389" s="20" t="s">
        <v>5</v>
      </c>
      <c r="L389" s="20" t="s">
        <v>5</v>
      </c>
    </row>
    <row r="390" spans="1:12" ht="12.75">
      <c r="A390" s="10" t="s">
        <v>236</v>
      </c>
      <c r="B390" s="10" t="s">
        <v>263</v>
      </c>
      <c r="C390" s="10" t="s">
        <v>375</v>
      </c>
      <c r="D390" s="10" t="s">
        <v>558</v>
      </c>
      <c r="E390" s="10" t="s">
        <v>616</v>
      </c>
      <c r="F390" s="10"/>
      <c r="G390" s="30">
        <v>110</v>
      </c>
      <c r="H390" s="50"/>
      <c r="I390" s="50"/>
      <c r="J390" s="30">
        <v>0</v>
      </c>
      <c r="K390" s="10"/>
      <c r="L390" s="59"/>
    </row>
    <row r="391" spans="1:12" ht="12.75">
      <c r="A391" s="10" t="s">
        <v>237</v>
      </c>
      <c r="B391" s="10" t="s">
        <v>263</v>
      </c>
      <c r="C391" s="10" t="s">
        <v>377</v>
      </c>
      <c r="D391" s="10" t="s">
        <v>560</v>
      </c>
      <c r="E391" s="10" t="s">
        <v>620</v>
      </c>
      <c r="F391" s="10" t="s">
        <v>862</v>
      </c>
      <c r="G391" s="30">
        <v>64.31</v>
      </c>
      <c r="H391" s="50"/>
      <c r="I391" s="50"/>
      <c r="J391" s="30">
        <v>64.31</v>
      </c>
      <c r="K391" s="10"/>
      <c r="L391" s="59"/>
    </row>
    <row r="392" spans="1:12" ht="12.75">
      <c r="A392" s="20" t="s">
        <v>5</v>
      </c>
      <c r="B392" s="20" t="s">
        <v>5</v>
      </c>
      <c r="C392" s="20"/>
      <c r="D392" s="20" t="s">
        <v>586</v>
      </c>
      <c r="E392" s="20" t="s">
        <v>5</v>
      </c>
      <c r="F392" s="20" t="s">
        <v>5</v>
      </c>
      <c r="G392" s="44" t="s">
        <v>5</v>
      </c>
      <c r="H392" s="44" t="s">
        <v>5</v>
      </c>
      <c r="I392" s="44"/>
      <c r="J392" s="52">
        <v>3.59283</v>
      </c>
      <c r="K392" s="20" t="s">
        <v>5</v>
      </c>
      <c r="L392" s="20" t="s">
        <v>5</v>
      </c>
    </row>
    <row r="393" spans="1:12" ht="12.75">
      <c r="A393" s="20" t="s">
        <v>5</v>
      </c>
      <c r="B393" s="20" t="s">
        <v>5</v>
      </c>
      <c r="C393" s="20" t="s">
        <v>266</v>
      </c>
      <c r="D393" s="20" t="s">
        <v>424</v>
      </c>
      <c r="E393" s="20" t="s">
        <v>5</v>
      </c>
      <c r="F393" s="20" t="s">
        <v>5</v>
      </c>
      <c r="G393" s="44" t="s">
        <v>5</v>
      </c>
      <c r="H393" s="44" t="s">
        <v>5</v>
      </c>
      <c r="I393" s="44"/>
      <c r="J393" s="52">
        <v>0</v>
      </c>
      <c r="K393" s="20" t="s">
        <v>5</v>
      </c>
      <c r="L393" s="20" t="s">
        <v>5</v>
      </c>
    </row>
    <row r="394" spans="1:12" ht="12.75">
      <c r="A394" s="10" t="s">
        <v>238</v>
      </c>
      <c r="B394" s="10" t="s">
        <v>264</v>
      </c>
      <c r="C394" s="10" t="s">
        <v>267</v>
      </c>
      <c r="D394" s="10" t="s">
        <v>425</v>
      </c>
      <c r="E394" s="10" t="s">
        <v>611</v>
      </c>
      <c r="F394" s="10"/>
      <c r="G394" s="30">
        <v>1</v>
      </c>
      <c r="H394" s="50"/>
      <c r="I394" s="50"/>
      <c r="J394" s="30">
        <v>0</v>
      </c>
      <c r="K394" s="10"/>
      <c r="L394" s="59"/>
    </row>
    <row r="395" spans="1:12" ht="12.75">
      <c r="A395" s="10" t="s">
        <v>239</v>
      </c>
      <c r="B395" s="10" t="s">
        <v>264</v>
      </c>
      <c r="C395" s="10" t="s">
        <v>400</v>
      </c>
      <c r="D395" s="10" t="s">
        <v>587</v>
      </c>
      <c r="E395" s="10" t="s">
        <v>623</v>
      </c>
      <c r="F395" s="10"/>
      <c r="G395" s="30">
        <v>3</v>
      </c>
      <c r="H395" s="50"/>
      <c r="I395" s="50"/>
      <c r="J395" s="30">
        <v>0</v>
      </c>
      <c r="K395" s="10"/>
      <c r="L395" s="59"/>
    </row>
    <row r="396" spans="1:12" ht="12.75">
      <c r="A396" s="20" t="s">
        <v>5</v>
      </c>
      <c r="B396" s="20" t="s">
        <v>5</v>
      </c>
      <c r="C396" s="20" t="s">
        <v>19</v>
      </c>
      <c r="D396" s="20" t="s">
        <v>529</v>
      </c>
      <c r="E396" s="20" t="s">
        <v>5</v>
      </c>
      <c r="F396" s="20" t="s">
        <v>5</v>
      </c>
      <c r="G396" s="44" t="s">
        <v>5</v>
      </c>
      <c r="H396" s="44" t="s">
        <v>5</v>
      </c>
      <c r="I396" s="44"/>
      <c r="J396" s="52">
        <v>0.00026</v>
      </c>
      <c r="K396" s="20" t="s">
        <v>5</v>
      </c>
      <c r="L396" s="20" t="s">
        <v>5</v>
      </c>
    </row>
    <row r="397" spans="1:12" ht="12.75">
      <c r="A397" s="10" t="s">
        <v>240</v>
      </c>
      <c r="B397" s="10" t="s">
        <v>264</v>
      </c>
      <c r="C397" s="10" t="s">
        <v>401</v>
      </c>
      <c r="D397" s="10" t="s">
        <v>588</v>
      </c>
      <c r="E397" s="10" t="s">
        <v>615</v>
      </c>
      <c r="F397" s="10"/>
      <c r="G397" s="30">
        <v>1.28</v>
      </c>
      <c r="H397" s="50"/>
      <c r="I397" s="50"/>
      <c r="J397" s="30">
        <v>0</v>
      </c>
      <c r="K397" s="10"/>
      <c r="L397" s="59"/>
    </row>
    <row r="398" spans="1:12" ht="12.75">
      <c r="A398" s="10" t="s">
        <v>241</v>
      </c>
      <c r="B398" s="10" t="s">
        <v>264</v>
      </c>
      <c r="C398" s="10" t="s">
        <v>402</v>
      </c>
      <c r="D398" s="10" t="s">
        <v>532</v>
      </c>
      <c r="E398" s="10" t="s">
        <v>615</v>
      </c>
      <c r="F398" s="10" t="s">
        <v>863</v>
      </c>
      <c r="G398" s="30">
        <v>1.28</v>
      </c>
      <c r="H398" s="50"/>
      <c r="I398" s="50"/>
      <c r="J398" s="30">
        <v>0.00026</v>
      </c>
      <c r="K398" s="10" t="s">
        <v>905</v>
      </c>
      <c r="L398" s="59"/>
    </row>
    <row r="399" ht="12.75">
      <c r="F399" s="10" t="s">
        <v>863</v>
      </c>
    </row>
    <row r="400" spans="1:12" ht="12.75">
      <c r="A400" s="20" t="s">
        <v>5</v>
      </c>
      <c r="B400" s="20" t="s">
        <v>5</v>
      </c>
      <c r="C400" s="20" t="s">
        <v>20</v>
      </c>
      <c r="D400" s="20" t="s">
        <v>531</v>
      </c>
      <c r="E400" s="20" t="s">
        <v>5</v>
      </c>
      <c r="F400" s="20" t="s">
        <v>5</v>
      </c>
      <c r="G400" s="44" t="s">
        <v>5</v>
      </c>
      <c r="H400" s="44" t="s">
        <v>5</v>
      </c>
      <c r="I400" s="44"/>
      <c r="J400" s="52">
        <v>0.11928</v>
      </c>
      <c r="K400" s="20" t="s">
        <v>5</v>
      </c>
      <c r="L400" s="20" t="s">
        <v>5</v>
      </c>
    </row>
    <row r="401" spans="1:12" ht="12.75">
      <c r="A401" s="10" t="s">
        <v>242</v>
      </c>
      <c r="B401" s="10" t="s">
        <v>264</v>
      </c>
      <c r="C401" s="10" t="s">
        <v>403</v>
      </c>
      <c r="D401" s="10" t="s">
        <v>589</v>
      </c>
      <c r="E401" s="10" t="s">
        <v>616</v>
      </c>
      <c r="F401" s="10"/>
      <c r="G401" s="30">
        <v>12</v>
      </c>
      <c r="H401" s="50"/>
      <c r="I401" s="50"/>
      <c r="J401" s="30">
        <v>0.08712</v>
      </c>
      <c r="K401" s="10"/>
      <c r="L401" s="59"/>
    </row>
    <row r="402" spans="1:12" ht="12.75">
      <c r="A402" s="10" t="s">
        <v>243</v>
      </c>
      <c r="B402" s="10" t="s">
        <v>264</v>
      </c>
      <c r="C402" s="10" t="s">
        <v>404</v>
      </c>
      <c r="D402" s="10" t="s">
        <v>590</v>
      </c>
      <c r="E402" s="10" t="s">
        <v>616</v>
      </c>
      <c r="F402" s="10"/>
      <c r="G402" s="30">
        <v>12</v>
      </c>
      <c r="H402" s="50"/>
      <c r="I402" s="50"/>
      <c r="J402" s="30">
        <v>0.03216</v>
      </c>
      <c r="K402" s="10"/>
      <c r="L402" s="59"/>
    </row>
    <row r="403" spans="1:12" ht="12.75">
      <c r="A403" s="20" t="s">
        <v>5</v>
      </c>
      <c r="B403" s="20" t="s">
        <v>5</v>
      </c>
      <c r="C403" s="20" t="s">
        <v>33</v>
      </c>
      <c r="D403" s="20" t="s">
        <v>591</v>
      </c>
      <c r="E403" s="20" t="s">
        <v>5</v>
      </c>
      <c r="F403" s="20" t="s">
        <v>5</v>
      </c>
      <c r="G403" s="44" t="s">
        <v>5</v>
      </c>
      <c r="H403" s="44" t="s">
        <v>5</v>
      </c>
      <c r="I403" s="44"/>
      <c r="J403" s="52">
        <v>3.16792</v>
      </c>
      <c r="K403" s="20" t="s">
        <v>5</v>
      </c>
      <c r="L403" s="20" t="s">
        <v>5</v>
      </c>
    </row>
    <row r="404" spans="1:12" ht="12.75">
      <c r="A404" s="10" t="s">
        <v>244</v>
      </c>
      <c r="B404" s="10" t="s">
        <v>264</v>
      </c>
      <c r="C404" s="10" t="s">
        <v>405</v>
      </c>
      <c r="D404" s="10" t="s">
        <v>592</v>
      </c>
      <c r="E404" s="10" t="s">
        <v>615</v>
      </c>
      <c r="F404" s="10"/>
      <c r="G404" s="30">
        <v>1.28</v>
      </c>
      <c r="H404" s="50"/>
      <c r="I404" s="50"/>
      <c r="J404" s="30">
        <v>3.16792</v>
      </c>
      <c r="K404" s="10"/>
      <c r="L404" s="59"/>
    </row>
    <row r="405" spans="1:12" ht="12.75">
      <c r="A405" s="20" t="s">
        <v>5</v>
      </c>
      <c r="B405" s="20" t="s">
        <v>5</v>
      </c>
      <c r="C405" s="20" t="s">
        <v>406</v>
      </c>
      <c r="D405" s="20" t="s">
        <v>593</v>
      </c>
      <c r="E405" s="20" t="s">
        <v>5</v>
      </c>
      <c r="F405" s="20" t="s">
        <v>5</v>
      </c>
      <c r="G405" s="44" t="s">
        <v>5</v>
      </c>
      <c r="H405" s="44" t="s">
        <v>5</v>
      </c>
      <c r="I405" s="44"/>
      <c r="J405" s="52">
        <v>0</v>
      </c>
      <c r="K405" s="20" t="s">
        <v>5</v>
      </c>
      <c r="L405" s="20" t="s">
        <v>5</v>
      </c>
    </row>
    <row r="406" spans="1:12" ht="12.75">
      <c r="A406" s="10" t="s">
        <v>245</v>
      </c>
      <c r="B406" s="10" t="s">
        <v>264</v>
      </c>
      <c r="C406" s="10" t="s">
        <v>407</v>
      </c>
      <c r="D406" s="10" t="s">
        <v>594</v>
      </c>
      <c r="E406" s="10" t="s">
        <v>619</v>
      </c>
      <c r="F406" s="10" t="s">
        <v>864</v>
      </c>
      <c r="G406" s="30">
        <v>709.45</v>
      </c>
      <c r="H406" s="50"/>
      <c r="I406" s="50"/>
      <c r="J406" s="30">
        <v>0</v>
      </c>
      <c r="K406" s="10"/>
      <c r="L406" s="59"/>
    </row>
    <row r="407" spans="1:12" ht="12.75">
      <c r="A407" s="20" t="s">
        <v>5</v>
      </c>
      <c r="B407" s="20" t="s">
        <v>5</v>
      </c>
      <c r="C407" s="20" t="s">
        <v>350</v>
      </c>
      <c r="D407" s="20" t="s">
        <v>524</v>
      </c>
      <c r="E407" s="20" t="s">
        <v>5</v>
      </c>
      <c r="F407" s="20" t="s">
        <v>5</v>
      </c>
      <c r="G407" s="44" t="s">
        <v>5</v>
      </c>
      <c r="H407" s="44" t="s">
        <v>5</v>
      </c>
      <c r="I407" s="44"/>
      <c r="J407" s="52">
        <v>0.02737</v>
      </c>
      <c r="K407" s="20" t="s">
        <v>5</v>
      </c>
      <c r="L407" s="20" t="s">
        <v>5</v>
      </c>
    </row>
    <row r="408" spans="1:12" ht="12.75">
      <c r="A408" s="10" t="s">
        <v>246</v>
      </c>
      <c r="B408" s="10" t="s">
        <v>264</v>
      </c>
      <c r="C408" s="10" t="s">
        <v>408</v>
      </c>
      <c r="D408" s="10" t="s">
        <v>595</v>
      </c>
      <c r="E408" s="10" t="s">
        <v>616</v>
      </c>
      <c r="F408" s="10" t="s">
        <v>865</v>
      </c>
      <c r="G408" s="30">
        <v>20.5</v>
      </c>
      <c r="H408" s="50"/>
      <c r="I408" s="50"/>
      <c r="J408" s="30">
        <v>0</v>
      </c>
      <c r="K408" s="10" t="s">
        <v>906</v>
      </c>
      <c r="L408" s="59"/>
    </row>
    <row r="409" spans="1:12" ht="12.75">
      <c r="A409" s="10" t="s">
        <v>247</v>
      </c>
      <c r="B409" s="10" t="s">
        <v>264</v>
      </c>
      <c r="C409" s="10" t="s">
        <v>409</v>
      </c>
      <c r="D409" s="10" t="s">
        <v>596</v>
      </c>
      <c r="E409" s="10" t="s">
        <v>616</v>
      </c>
      <c r="F409" s="10"/>
      <c r="G409" s="30">
        <v>20.5</v>
      </c>
      <c r="H409" s="50"/>
      <c r="I409" s="50"/>
      <c r="J409" s="30">
        <v>0.01497</v>
      </c>
      <c r="K409" s="10"/>
      <c r="L409" s="59"/>
    </row>
    <row r="410" spans="1:12" ht="12.75">
      <c r="A410" s="10" t="s">
        <v>248</v>
      </c>
      <c r="B410" s="10" t="s">
        <v>264</v>
      </c>
      <c r="C410" s="10" t="s">
        <v>410</v>
      </c>
      <c r="D410" s="10" t="s">
        <v>597</v>
      </c>
      <c r="E410" s="10" t="s">
        <v>616</v>
      </c>
      <c r="F410" s="10" t="s">
        <v>866</v>
      </c>
      <c r="G410" s="30">
        <v>20.5</v>
      </c>
      <c r="H410" s="50"/>
      <c r="I410" s="50"/>
      <c r="J410" s="30">
        <v>0</v>
      </c>
      <c r="K410" s="10"/>
      <c r="L410" s="59"/>
    </row>
    <row r="411" spans="1:12" ht="12.75">
      <c r="A411" s="10" t="s">
        <v>249</v>
      </c>
      <c r="B411" s="10" t="s">
        <v>264</v>
      </c>
      <c r="C411" s="10" t="s">
        <v>411</v>
      </c>
      <c r="D411" s="10" t="s">
        <v>598</v>
      </c>
      <c r="E411" s="10" t="s">
        <v>613</v>
      </c>
      <c r="F411" s="10"/>
      <c r="G411" s="30">
        <v>2</v>
      </c>
      <c r="H411" s="50"/>
      <c r="I411" s="50"/>
      <c r="J411" s="30">
        <v>0.00024</v>
      </c>
      <c r="K411" s="10" t="s">
        <v>907</v>
      </c>
      <c r="L411" s="59"/>
    </row>
    <row r="412" spans="1:12" ht="12.75">
      <c r="A412" s="10" t="s">
        <v>250</v>
      </c>
      <c r="B412" s="10" t="s">
        <v>264</v>
      </c>
      <c r="C412" s="10" t="s">
        <v>412</v>
      </c>
      <c r="D412" s="10" t="s">
        <v>599</v>
      </c>
      <c r="E412" s="10" t="s">
        <v>613</v>
      </c>
      <c r="F412" s="10"/>
      <c r="G412" s="30">
        <v>2</v>
      </c>
      <c r="H412" s="50"/>
      <c r="I412" s="50"/>
      <c r="J412" s="30">
        <v>0</v>
      </c>
      <c r="K412" s="10"/>
      <c r="L412" s="59"/>
    </row>
    <row r="413" spans="1:12" ht="12.75">
      <c r="A413" s="10" t="s">
        <v>251</v>
      </c>
      <c r="B413" s="10" t="s">
        <v>264</v>
      </c>
      <c r="C413" s="10" t="s">
        <v>413</v>
      </c>
      <c r="D413" s="10" t="s">
        <v>600</v>
      </c>
      <c r="E413" s="10" t="s">
        <v>613</v>
      </c>
      <c r="F413" s="10"/>
      <c r="G413" s="30">
        <v>2</v>
      </c>
      <c r="H413" s="50"/>
      <c r="I413" s="50"/>
      <c r="J413" s="30">
        <v>0</v>
      </c>
      <c r="K413" s="10"/>
      <c r="L413" s="59"/>
    </row>
    <row r="414" spans="1:12" ht="12.75">
      <c r="A414" s="10" t="s">
        <v>252</v>
      </c>
      <c r="B414" s="10" t="s">
        <v>264</v>
      </c>
      <c r="C414" s="10" t="s">
        <v>414</v>
      </c>
      <c r="D414" s="10" t="s">
        <v>601</v>
      </c>
      <c r="E414" s="10" t="s">
        <v>611</v>
      </c>
      <c r="F414" s="10"/>
      <c r="G414" s="30">
        <v>1</v>
      </c>
      <c r="H414" s="50"/>
      <c r="I414" s="50"/>
      <c r="J414" s="30">
        <v>0</v>
      </c>
      <c r="K414" s="10" t="s">
        <v>908</v>
      </c>
      <c r="L414" s="59"/>
    </row>
    <row r="415" spans="1:12" ht="12.75">
      <c r="A415" s="10" t="s">
        <v>253</v>
      </c>
      <c r="B415" s="10" t="s">
        <v>264</v>
      </c>
      <c r="C415" s="10" t="s">
        <v>415</v>
      </c>
      <c r="D415" s="10" t="s">
        <v>602</v>
      </c>
      <c r="E415" s="10" t="s">
        <v>616</v>
      </c>
      <c r="F415" s="10" t="s">
        <v>867</v>
      </c>
      <c r="G415" s="30">
        <v>32</v>
      </c>
      <c r="H415" s="50"/>
      <c r="I415" s="50"/>
      <c r="J415" s="30">
        <v>0.01216</v>
      </c>
      <c r="K415" s="10" t="s">
        <v>909</v>
      </c>
      <c r="L415" s="59"/>
    </row>
    <row r="416" spans="1:12" ht="12.75">
      <c r="A416" s="20" t="s">
        <v>5</v>
      </c>
      <c r="B416" s="20" t="s">
        <v>5</v>
      </c>
      <c r="C416" s="20"/>
      <c r="D416" s="20" t="s">
        <v>487</v>
      </c>
      <c r="E416" s="20" t="s">
        <v>5</v>
      </c>
      <c r="F416" s="20" t="s">
        <v>5</v>
      </c>
      <c r="G416" s="44" t="s">
        <v>5</v>
      </c>
      <c r="H416" s="44" t="s">
        <v>5</v>
      </c>
      <c r="I416" s="44"/>
      <c r="J416" s="52">
        <v>0.278</v>
      </c>
      <c r="K416" s="20" t="s">
        <v>5</v>
      </c>
      <c r="L416" s="20" t="s">
        <v>5</v>
      </c>
    </row>
    <row r="417" spans="1:12" ht="12.75">
      <c r="A417" s="10" t="s">
        <v>254</v>
      </c>
      <c r="B417" s="10" t="s">
        <v>264</v>
      </c>
      <c r="C417" s="10" t="s">
        <v>416</v>
      </c>
      <c r="D417" s="10" t="s">
        <v>603</v>
      </c>
      <c r="E417" s="10" t="s">
        <v>613</v>
      </c>
      <c r="F417" s="10"/>
      <c r="G417" s="30">
        <v>2</v>
      </c>
      <c r="H417" s="50"/>
      <c r="I417" s="50"/>
      <c r="J417" s="30">
        <v>0.254</v>
      </c>
      <c r="K417" s="10"/>
      <c r="L417" s="59"/>
    </row>
    <row r="418" spans="1:12" ht="12.75">
      <c r="A418" s="10" t="s">
        <v>255</v>
      </c>
      <c r="B418" s="10" t="s">
        <v>264</v>
      </c>
      <c r="C418" s="10" t="s">
        <v>417</v>
      </c>
      <c r="D418" s="10" t="s">
        <v>604</v>
      </c>
      <c r="E418" s="10" t="s">
        <v>613</v>
      </c>
      <c r="F418" s="10"/>
      <c r="G418" s="30">
        <v>2</v>
      </c>
      <c r="H418" s="50"/>
      <c r="I418" s="50"/>
      <c r="J418" s="30">
        <v>0.024</v>
      </c>
      <c r="K418" s="10"/>
      <c r="L418" s="59"/>
    </row>
    <row r="419" spans="1:12" ht="12.75">
      <c r="A419" s="10" t="s">
        <v>256</v>
      </c>
      <c r="B419" s="10" t="s">
        <v>264</v>
      </c>
      <c r="C419" s="10" t="s">
        <v>418</v>
      </c>
      <c r="D419" s="10" t="s">
        <v>605</v>
      </c>
      <c r="E419" s="10" t="s">
        <v>618</v>
      </c>
      <c r="F419" s="10"/>
      <c r="G419" s="30">
        <v>2</v>
      </c>
      <c r="H419" s="50"/>
      <c r="I419" s="50"/>
      <c r="J419" s="30">
        <v>0</v>
      </c>
      <c r="K419" s="10"/>
      <c r="L419" s="59"/>
    </row>
    <row r="421" spans="8:9" ht="12.75">
      <c r="H421" s="56" t="s">
        <v>629</v>
      </c>
      <c r="I421" s="5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Stegner Ivo-projekce</cp:lastModifiedBy>
  <dcterms:modified xsi:type="dcterms:W3CDTF">2016-07-12T06:48:34Z</dcterms:modified>
  <cp:category/>
  <cp:version/>
  <cp:contentType/>
  <cp:contentStatus/>
</cp:coreProperties>
</file>